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01" windowWidth="10620" windowHeight="9360" activeTab="0"/>
  </bookViews>
  <sheets>
    <sheet name="2018" sheetId="1" r:id="rId1"/>
    <sheet name="2018 (КР)" sheetId="2" r:id="rId2"/>
    <sheet name="Лист1" sheetId="3" r:id="rId3"/>
  </sheets>
  <definedNames>
    <definedName name="_xlnm.Print_Area" localSheetId="0">'2018'!$A$2:$V$21</definedName>
    <definedName name="_xlnm.Print_Area" localSheetId="1">'2018 (КР)'!$A$1:$Z$149</definedName>
  </definedNames>
  <calcPr fullCalcOnLoad="1"/>
</workbook>
</file>

<file path=xl/sharedStrings.xml><?xml version="1.0" encoding="utf-8"?>
<sst xmlns="http://schemas.openxmlformats.org/spreadsheetml/2006/main" count="1145" uniqueCount="348">
  <si>
    <t>Назва об'єктів</t>
  </si>
  <si>
    <t>.</t>
  </si>
  <si>
    <t>№ з/п</t>
  </si>
  <si>
    <t>Укладено договорів, тис. грн., в т.ч.</t>
  </si>
  <si>
    <t>ПКД</t>
  </si>
  <si>
    <t>БМР</t>
  </si>
  <si>
    <t>Кошторисна вартість об’єкта за висновком експертизи, тис. грн.</t>
  </si>
  <si>
    <t>Орієнтовна кошторисна вартість об’єкта, тис. грн.</t>
  </si>
  <si>
    <t>Автор. нагляд</t>
  </si>
  <si>
    <t>Тех. нагляд</t>
  </si>
  <si>
    <t>Назва генеральної підрядної організації</t>
  </si>
  <si>
    <t>Виконано робіт, тис.грн.</t>
  </si>
  <si>
    <t>Укладено підрядних договорів, тис. грн.</t>
  </si>
  <si>
    <t>Назва генпідрядної організації</t>
  </si>
  <si>
    <t>Виконано робіт,         тис. грн.</t>
  </si>
  <si>
    <t>"Програма економічного і соціального розвитку м. Миколаєва на 2018 -2020 роки"</t>
  </si>
  <si>
    <t>Реконструкція в частині термосанації будівлі дошкільного навчального закладу № 103 за адресою: м. Миколаїв, вул. Океанівська, 43.</t>
  </si>
  <si>
    <t>Реконструкція в частині термосанації будівлі дошкільного навчального закладу № 144 за адресою: м. Миколаїв, вул. Океанівська, 42.</t>
  </si>
  <si>
    <t>Реконструкція в частині термосанації будівлі  Миколаївської загальноосвітньої школи  І-ІІІ ступенів № 52 за адресою: м. Миколаїв,  вул. Крилова,42.</t>
  </si>
  <si>
    <t>Реконструкція в частині термосанації будівлі  Миколаївської загальноосвітньої школи  І-ІІІ ступенів № 19 за адресою: м. Миколаїв,  вул. Передова, 11-А.</t>
  </si>
  <si>
    <t>Реконструкція в частині термосанації будівлі  Миколаївської загальноосвітньої школи  І-ІІІ ступенів № 20 за адресою: м. Миколаїв, вул. Космонавтів, 70.</t>
  </si>
  <si>
    <t>Реконструкція в частині термосанації будівлі  «Дитячий будинок сімейного типу» за адресою: м. Миколаїв, вул. Надпрудна, 15.</t>
  </si>
  <si>
    <t>Реконструкція з термосанацією будівлі дошкільного навчального закладу № 87 за адресою: м. Миколаїв, вул. Привільна, 57.</t>
  </si>
  <si>
    <t>Реконструкція з термосанацією будівлі дошкільного навчального закладу № 52
 за адресою: м. Миколаїв, пров. Парусний, 7-Б.</t>
  </si>
  <si>
    <t xml:space="preserve">Реконструкція з термосанацією будівлі  першого корпусу Миколаївської загальноосвітньої школи І-ІІІ ступенів №60 за адресою: м. Миколаїв, вул. Чорноморська, 1-а. </t>
  </si>
  <si>
    <t xml:space="preserve">Реконструкція з термосанацією будівлі  Миколаївської загальноосвітньої школи І-ІІІ ступенів №3 за адресою: м. Миколаїв, вул. Чкалова, 114. </t>
  </si>
  <si>
    <t xml:space="preserve"> Затверджено кошторисом на 2018 рік , тис. грн</t>
  </si>
  <si>
    <t>-</t>
  </si>
  <si>
    <t>ТОВ "ІНПРОЕКТБУД"</t>
  </si>
  <si>
    <t>ФОП Павлов А.А.</t>
  </si>
  <si>
    <t>ТОВ "ЮЖНИЙ ГОРОД"</t>
  </si>
  <si>
    <t>ТОВ "АБ Масив"</t>
  </si>
  <si>
    <t xml:space="preserve">Інформація про стан фінансування об’єктів, по яких головним розпорядником бюджетних коштів в 2018 році є департамент енергетики, енергозбереження та запровадження інноваційних технологій Миколаївської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</si>
  <si>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Термін дії</t>
  </si>
  <si>
    <t>Капітальний ремонт в частині заміни вікон та вхідних дверей в під’їздах будинку за адресою: м. Миколаїв, вул. Космонавтів, 130 А, в т. ч. проектно-кошторисна документація та експертиза</t>
  </si>
  <si>
    <t xml:space="preserve">Капітальний ремонт в частині заміни вікон та вхідних дверей в під’їздах будинку за адресою: м. Миколаїв, вул. Електронна, 56, в т. ч. проектно-кошторисна документація та експертиза </t>
  </si>
  <si>
    <t>Капітальний ремонт в частині заміни вікон та вхідних дверей в під’їздах будинку за адресою: м. Миколаїв, вул. Електронна, 68, в т. ч. проектно-кошторисна документація та експертиза</t>
  </si>
  <si>
    <t>Капітальний ремонт в частині заміни вікон та вхідних дверей в під’їздах будинку за адресою: м. Миколаїв, вул. Електронна, 70, в т. ч. проектно-кошторисна документація та експертиза</t>
  </si>
  <si>
    <t>Ул. Электронная, 70</t>
  </si>
  <si>
    <t>Капітальний ремонт в частині заміни вікон та вхідних дверей в під’їздах будинку за адресою: м. Миколаїв, вул. Космонавтів, 140 Б, в т. ч. проектно-кошторисна документація та експертиза</t>
  </si>
  <si>
    <t>Ул. Космонавтов, 140 Б</t>
  </si>
  <si>
    <t>Капітальний ремонт в частині заміни вікон та вхідних дверей в під’їздах будинку за адресою: м. Миколаїв, вул. Космонавтів, 140, в т. ч. проектно-кошторисна документація та експертиза</t>
  </si>
  <si>
    <t>Ул. Космонавтов, 140</t>
  </si>
  <si>
    <t>Капітальний ремонт в частині заміни вікон та вхідних дверей в під’їздах будинку за адресою: м. Миколаїв, вул. Космонавтів, 140 А, в т. ч. проектно-кошторисна документація та експертиза</t>
  </si>
  <si>
    <t>Ул. Космонавтов, 140 А</t>
  </si>
  <si>
    <t>Капітальний ремонт в частині заміни вікон та вхідних дверей в під’їздах будинку за адресою: м. Миколаїв, вул. Космонавтів, 140 В, в т. ч. проектно-кошторисна документація та експертиза</t>
  </si>
  <si>
    <t>Ул. Космонавтов, 140 В</t>
  </si>
  <si>
    <t>Капітальний ремонт в частині заміни вікон та вхідних дверей в під’їздах будинку за адресою: м. Миколаїв, пр. Миру, 23 А, в т. ч. проектно-кошторисна документація та експертиза</t>
  </si>
  <si>
    <t>Пр. Мира, 23 А</t>
  </si>
  <si>
    <t>Капітальний ремонт в частині заміни вікон та вхідних дверей в під’їздах будинку за адресою: м. Миколаїв, пр. Миру, 23 Б, в т. ч. проектно-кошторисна документація та експертиза</t>
  </si>
  <si>
    <t>Пр. Мира, 23 Б</t>
  </si>
  <si>
    <t>Капітальний ремонт в частині заміни вікон та вхідних дверей в під’їздах будинку за адресою: м. Миколаїв, вул. Миколаївська, 40, в т. ч. проектно-кошторисна документація та експертиза</t>
  </si>
  <si>
    <t>Ул. Николаевская, 40</t>
  </si>
  <si>
    <t>Капітальний ремонт в частині заміни вікон та вхідних дверей в під’їздах будинку за адресою: м. Миколаїв, вул. Театральна, 47 А, в т. ч. проектно-кошторисна документація та експертиза</t>
  </si>
  <si>
    <t>Ул. Театральная, 47 А</t>
  </si>
  <si>
    <t xml:space="preserve">Капітальний ремонт в частині заміни вікон та вхідних дверей в під’їздах будинку за адресою: м. Миколаїв, вул. Погранична, 232, в т. ч. проектно-кошторисна документація та експертиза </t>
  </si>
  <si>
    <t>Ул. Чигрина, 232</t>
  </si>
  <si>
    <t>Капітальний ремонт в частині заміни вікон та вхідних дверей в під’їздах будинку за адресою: м. Миколаїв, вул. 295-ї Стрілецької Дивізії, 75-а, в т. ч. проектно-кошторисна документація та експертиза</t>
  </si>
  <si>
    <t>Ул. 295 Стрелковой дивизии, 75-а</t>
  </si>
  <si>
    <t>Капітальний ремонт в частині заміни вікон та вхідних дверей в під’їздах будинку за адресою: м. Миколаїв, вул. Космонавтів, 104, в т. ч. проектно-кошторисна документація та експертиза</t>
  </si>
  <si>
    <t>Ул. Космонавтов, 104</t>
  </si>
  <si>
    <t>Капітальний ремонт в частині заміни вікон та вхідних дверей в під’їздах будинку за адресою: м. Миколаїв, вул. Вінграновського, 56,  в т. ч. проектно-кошторисна документація та експертиза</t>
  </si>
  <si>
    <t>Ул. Винграновского, 56</t>
  </si>
  <si>
    <t>Капітальний ремонт в частині заміни вікон та вхідних дверей в під’їздах будинку за адресою: м. Миколаїв, пр. Миру, 54, в т. ч. проектно-кошторисна документація та експертиза</t>
  </si>
  <si>
    <t>Пр. Мира, 54</t>
  </si>
  <si>
    <t>Капітальний ремонт в частині заміни вікон та вхідних дверей в під’їздах будинку за адресою: м. Миколаїв, пр. Миру, 56, в т. ч. проектно-кошторисна документація та експертиза</t>
  </si>
  <si>
    <t>Пр. Мира, 56</t>
  </si>
  <si>
    <t>Капітальний ремонт в частині заміни вікон та вхідних дверей в під’їздах будинку за адресою: м. Миколаїв, пр. Миру, 58, в т. ч. проектно-кошторисна документація та експертиза</t>
  </si>
  <si>
    <t>Пр. Мира, 58</t>
  </si>
  <si>
    <t>Капітальний ремонт в частині заміни вікон та вхідних дверей в під’їздах будинку за адресою: м. Миколаїв, пр. Миру, 44, в т. ч. проектно-кошторисна документація та експертиза</t>
  </si>
  <si>
    <t>Пр. Мира, 44</t>
  </si>
  <si>
    <t>Капітальний ремонт в частині заміни вікон та вхідних дверей в під’їздах будинку за адресою: м. Миколаїв, вул. Театральна,51, в т. ч. проектно-кошторисна документація та експертиза</t>
  </si>
  <si>
    <t>Ул. Театральная, 51</t>
  </si>
  <si>
    <t>Капітальний ремонт в частині заміни вікон та вхідних дверей в під’їздах будинку за адресою: м. Миколаїв, вул. 12 Поздовжня,47, в т. ч. проектно-кошторисна документація та експертиза</t>
  </si>
  <si>
    <t>Ул. 12-Продольная, 47</t>
  </si>
  <si>
    <t>Капітальний ремонт в частині заміни вікон та вхідних дверей в під’їздах будинку за адресою: м. Миколаїв, вул. Космонавтів, 146 А, в т. ч. проектно-кошторисна документація та експертиза</t>
  </si>
  <si>
    <t>Ул. Космонавтов, 146 А</t>
  </si>
  <si>
    <t>Капітальний ремонт в частині заміни вікон та вхідних дверей в під’їздах будинку за адресою: м. Миколаїв, вул. Космонавтів, 146 В, в т. ч. проектно-кошторисна документація та експертиза</t>
  </si>
  <si>
    <t>Ул. Космонавтов, 146 В</t>
  </si>
  <si>
    <t>Капітальний ремонт в частині заміни вікон та вхідних дверей в під’їздах будинку за адресою: м. Миколаїв, вул. Космонавтів, 146 Б, в т. ч. проектно-кошторисна документація та експертиза</t>
  </si>
  <si>
    <t>Ул. Космонавтов, 146 Б</t>
  </si>
  <si>
    <t>Капітальний ремонт в частині заміни вікон та вхідних дверей в під’їздах будинку за адресою: м. Миколаїв, вул. Нагірна, 11, в т. ч. проектно-кошторисна документація та експертиза</t>
  </si>
  <si>
    <t>Ул. Нагорная, 11</t>
  </si>
  <si>
    <t>Капітальний ремонт в частині заміни вікон та вхідних дверей в під’їздах будинку за адресою: м. Миколаїв, пр. Миру, 60, в т. ч. проектно-кошторисна документація та експертиза</t>
  </si>
  <si>
    <t>Пр. Мира, 60</t>
  </si>
  <si>
    <t>Капітальний ремонт в частині заміни вікон та вхідних дверей в під’їздах будинку за адресою: м. Миколаїв, пр. Миру, 62, в т. ч. проектно-кошторисна документація та експертиза</t>
  </si>
  <si>
    <t>Пр. Мира, 62</t>
  </si>
  <si>
    <t>Капітальний ремонт в частині заміни вікон та вхідних дверей в під’їздах будинку за адресою: м. Миколаїв, вул. Космонавтів, 74, в т. ч. проектно-кошторисна документація та експертиза</t>
  </si>
  <si>
    <t>Ул. Космонавтов, 74</t>
  </si>
  <si>
    <t>Капітальний ремонт в частині заміни вікон та вхідних дверей в під’їздах будинку за адресою: м. Миколаїв, вул. Космонавтів, 74-а, в т. ч. проектно-кошторисна документація та експертиза</t>
  </si>
  <si>
    <t>Ул. Космонавтов, 74-а</t>
  </si>
  <si>
    <t>Капітальний ремонт в частині заміни вікон та вхідних дверей в під’їздах будинку за адресою: м. Миколаїв, вул. Новозаводська, 10, в т. ч. проектно-кошторисна документація та експертиза</t>
  </si>
  <si>
    <t>Ул. Новозаводская, 10</t>
  </si>
  <si>
    <t>Капітальний ремонт в частині заміни вікон та вхідних дверей в під’їздах будинку за адресою: м. Миколаїв, вул. Олійника, 30, в т. ч. проектно-кошторисна документація та експертиза</t>
  </si>
  <si>
    <t>Ул. Олейника, 30</t>
  </si>
  <si>
    <t>Капітальний ремонт в частині заміни вікон та вхідних дверей в під’їздах будинку за адресою: м. Миколаїв, вул. Олійника, 32, в т. ч. проектно-кошторисна документація та експертиза</t>
  </si>
  <si>
    <t>Ул. Олейника, 32</t>
  </si>
  <si>
    <t>Капітальний ремонт в частині заміни вікон та вхідних дверей в під’їздах будинку за адресою: м. Миколаїв, пр. Богоявленський, 35, в т. ч. проектно-кошторисна документація та експертиза</t>
  </si>
  <si>
    <t>Пр. Богоявленский, 35</t>
  </si>
  <si>
    <t>Капітальний ремонт в частині заміни вікон та вхідних дверей в під’їздах будинку за адресою: м. Миколаїв, вул. Космонавтів, 84, в т. ч. проектно-кошторисна документація та експертиза</t>
  </si>
  <si>
    <t>Ул. Космонавтов, 84</t>
  </si>
  <si>
    <t>Капітальний ремонт в частині заміни вікон та вхідних дверей в під’їздах будинку за адресою: м. Миколаїв, вул. Космонавтів, 86, в т. ч. проектно-кошторисна документація та експертиза</t>
  </si>
  <si>
    <t>Ул. Космонавтов, 86</t>
  </si>
  <si>
    <t xml:space="preserve">Капітальний ремонт в частині заміни вікон та вхідних дверей в під’їздах будинку за адресою: м. Миколаїв, вул. Космонавтів, 57, в т. ч. проектно-кошторисна документація та експертиза </t>
  </si>
  <si>
    <t>Ул. Космонавтов, 57</t>
  </si>
  <si>
    <t xml:space="preserve">Капітальний ремонт в частині заміни вікон та вхідних дверей в під’їздах будинку за адресою: м. Миколаїв, вул. В.Чорновола, 7, в т. ч. проектно-кошторисна документація та експертиза </t>
  </si>
  <si>
    <t>Ул. В.Черновола, 7</t>
  </si>
  <si>
    <t>Капітальний ремонт в частині заміни вікон та вхідних дверей в під’їздах будинку за адресою: м. Миколаїв, вул. Вокзальна, 59, в т. ч. проектно-кошторисна документація та експертиза</t>
  </si>
  <si>
    <t>Ул. Вокзальная, 59</t>
  </si>
  <si>
    <t>Капітальний ремонт в частині заміни вікон та вхідних дверей в під’їздах будинку за адресою: м. Миколаїв, вул. Вокзальна, 61, в т. ч. проектно-кошторисна документація та експертиза</t>
  </si>
  <si>
    <t>Ул. Вокзальная, 61</t>
  </si>
  <si>
    <t>Капітальний ремонт в частині заміни вікон та вхідних дверей в під’їздах будинку за адресою: м. Миколаїв, вул. Райдужна, 55, в т. ч. проектно-кошторисна документація та експертиза</t>
  </si>
  <si>
    <t>Ул. Радужная, 55</t>
  </si>
  <si>
    <t>Капітальний ремонт в частині заміни вікон та вхідних дверей в під’їздах будинку за адресою: м. Миколаїв, вул. Знаменська, 39, в т. ч. проектно-кошторисна документація та експертиза</t>
  </si>
  <si>
    <t>Ул. Знаменская, 39</t>
  </si>
  <si>
    <t>Капітальний ремонт в частині заміни вікон та вхідних дверей в під’їздах будинку за адресою: м. Миколаїв, вул. Знаменська, 51, в т. ч. проектно-кошторисна документація та експертиза</t>
  </si>
  <si>
    <t>Ул. Знаменская, 51</t>
  </si>
  <si>
    <t>Капітальний ремонт в частині заміни вікон та вхідних дверей в під’їздах будинку за адресою: м. Миколаїв, провул. Полярний, 2 В, в т. ч. проектно-кошторисна документація та експертиза</t>
  </si>
  <si>
    <t>Пер. Полярный,  2 В</t>
  </si>
  <si>
    <t>Капітальний ремонт в частині заміни вікон та вхідних дверей в під’їздах будинку за адресою: м. Миколаїв, пр. Корабелів, 8, в т. ч. проектно-кошторисна документація та експертиза</t>
  </si>
  <si>
    <t>Пр. Корабелов, 8</t>
  </si>
  <si>
    <t>Капітальний ремонт в частині заміни вікон та вхідних дверей в під’їздах будинку за адресою: м. Миколаїв,пр. Корабелів 6, в т. ч. проектно-кошторисна документація та експертиза</t>
  </si>
  <si>
    <t>Пр. Корабелов, 6</t>
  </si>
  <si>
    <t>Капітальний ремонт в частині заміни вікон та вхідних дверей в під’їздах будинку за адресою: м. Миколаїв, пр. Корабелів, 4, в т. ч. проектно-кошторисна документація та експертиза</t>
  </si>
  <si>
    <t>Пр. Корабелов, 4</t>
  </si>
  <si>
    <t xml:space="preserve">Капітальний ремонт в частині заміни вікон та вхідних дверей в під’їздах будинку за адресою: м. Миколаїв, вул. Металургів,36-2, в т. ч. проектно-кошторисна документація та експертиза </t>
  </si>
  <si>
    <t>Ул. Металлургов, 36-2</t>
  </si>
  <si>
    <t>Капітальний ремонт в частині заміни вікон та вхідних дверей в під’їздах будинку за адресою: м. Миколаїв, вул. Металургів, 34, в т. ч. проектно-кошторисна документація та експертиза</t>
  </si>
  <si>
    <t>Ул. Металлургов, 34</t>
  </si>
  <si>
    <t>Капітальний ремонт в частині заміни вікон та вхідних дверей в під’їздах будинку за адресою: м. Миколаїв, вул. Металургів, 32, в т. ч. проектно-кошторисна документація та експертиза</t>
  </si>
  <si>
    <t>Ул. Металлургов, 32</t>
  </si>
  <si>
    <t>Капітальний ремонт в частині заміни вікон та вхідних дверей в під’їздах будинку за адресою: м. Миколаїв, вул. Молодогвардійська, 28 А, в т. ч. проектно-кошторисна документація та експертиза</t>
  </si>
  <si>
    <t>Ул. Молодогвардейская, 28 А</t>
  </si>
  <si>
    <t>Капітальний ремонт в частині заміни вікон та вхідних дверей в під’їздах будинку за адресою: м. Миколаїв, вул. Лазурна,6, в т. ч. проектно-кошторисна документація та експертиза</t>
  </si>
  <si>
    <t>Ул. Лазурная, 6</t>
  </si>
  <si>
    <t xml:space="preserve">Капітальний ремонт в частині заміни вікон та вхідних дверей в під’їздах будинку за адресою: м. Миколаїв, вул. Лазурна, 10 В, в т. ч. проектно-кошторисна документація та експертиза </t>
  </si>
  <si>
    <t>Ул. Лазурная, 10 В</t>
  </si>
  <si>
    <t>Капітальний ремонт в частині заміни вікон та вхідних дверей в під’їздах будинку за адресою: м. Миколаїв, вул. Крилова, 38, в т. ч. проектно-кошторисна документація та експертиза</t>
  </si>
  <si>
    <t>Ул. Крылова, 38</t>
  </si>
  <si>
    <t>Капітальний ремонт в частині заміни вікон та вхідних дверей в під’їздах будинку за адресою: м. Миколаїв, вул. Крилова, 48, в т. ч. проектно-кошторисна документація та експертиза</t>
  </si>
  <si>
    <t>Ул. Крылова, 48</t>
  </si>
  <si>
    <t>Капітальний ремонт в частині заміни вікон та вхідних дверей в під’їздах будинку за адресою: м. Миколаїв, вул. Крилова, 50 А, в т. ч. проектно-кошторисна документація та експертиза</t>
  </si>
  <si>
    <t>Ул. Крылова, 50а</t>
  </si>
  <si>
    <t>Капітальний ремонт в частині заміни вікон та вхідних дверей в під’їздах будинку за адресою: м. Миколаїв, вул. Крилова, 52, в т. ч. проектно-кошторисна документація та експертиза</t>
  </si>
  <si>
    <t>Ул. Крылова, 52 (взамен № 56)</t>
  </si>
  <si>
    <t>Капітальний ремонт в частині заміни вікон та вхідних дверей в під’їздах будинку за адресою: м. Миколаїв, вул. Озерна, 19 Б, в т. ч. проектно-кошторисна документація та експертиза</t>
  </si>
  <si>
    <t>Ул. Озерная, 19 Б</t>
  </si>
  <si>
    <t>Капітальний ремонт в частині заміни вікон та вхідних дверей в під’їздах будинку за адресою: м. Миколаїв, вул. Озерна, 19 В, в т. ч. проектно-кошторисна документація та експертиза</t>
  </si>
  <si>
    <t>Ул. Озерная, 19 В</t>
  </si>
  <si>
    <t xml:space="preserve">Капітальний ремонт в частині заміни вікон та вхідних дверей в під’їздах будинку за адресою: м. Миколаїв, вул. Київська, 4, в т. ч. проектно-кошторисна документація та експертиза </t>
  </si>
  <si>
    <t>Ул. Киевская, 4</t>
  </si>
  <si>
    <t>Капітальний ремонт в частині заміни вікон та вхідних дверей в під’їздах будинку за адресою: м. Миколаїв, вул. Генерала Карпенка, 2/1, в т. ч. проектно-кошторисна документація та експертиза</t>
  </si>
  <si>
    <t>Ул. Генерала Карпенко, 2/1</t>
  </si>
  <si>
    <t>Капітальний ремонт в частині заміни вікон та вхідних дверей в під’їздах будинку за адресою: м. Миколаїв, вул. Курортна, 5, в т. ч. проектно-кошторисна документація та експертиза</t>
  </si>
  <si>
    <t>Ул. Курортная, 5</t>
  </si>
  <si>
    <t>Капітальний ремонт в частині заміни вікон та вхідних дверей в під’їздах будинку за адресою: м. Миколаїв, вул. Абрикосова, 5, в т. ч. проектно-кошторисна документація та експертиза</t>
  </si>
  <si>
    <t>Ул. Абрикосовая, 5</t>
  </si>
  <si>
    <t>Сума договору</t>
  </si>
  <si>
    <t>Сума авансу</t>
  </si>
  <si>
    <t xml:space="preserve">Дата закриття </t>
  </si>
  <si>
    <t>ФОП Канівченко В.Г.</t>
  </si>
  <si>
    <t>Капітальний ремонт із заміни вікон, дверей будівлі ЗОШ І-ІІІ ст. № 17 Миколаївської міської ради Миколаївської області, вул. Крилова, 12/6, м. Миколаїв</t>
  </si>
  <si>
    <t>Тех.нагляд</t>
  </si>
  <si>
    <t>Автор.нагляд</t>
  </si>
  <si>
    <t xml:space="preserve"> Передбачено на 2018 рік , тис. грн (ЗІ ЗМІНАМИ)</t>
  </si>
  <si>
    <t>сума вик. кошт.на БМР</t>
  </si>
  <si>
    <t>сума вик. кошт. на тех.нагляд</t>
  </si>
  <si>
    <t>сума вик. кошт.на ПКД</t>
  </si>
  <si>
    <t>сума вик. кошт. на авт.нагляд</t>
  </si>
  <si>
    <t>ФОП Ігнатьєва Ю.О.</t>
  </si>
  <si>
    <t>Викор. сума</t>
  </si>
  <si>
    <t>03,09.2018</t>
  </si>
  <si>
    <t>03,08.2018</t>
  </si>
  <si>
    <t>23,06.2018</t>
  </si>
  <si>
    <t>Капітальний ремонт в частині заміни вікон та вхідних дверей в під’їздах будинку за адресою: м. Миколаїв,вул. Генерала Карпенка, 42, в т. ч. проектно-кошторисна документація та експертиза</t>
  </si>
  <si>
    <t>Капітальний ремонт в частині заміни вікон та вхідних дверей в під’їздах будинку за адресою: м. Миколаїв,вул. Космонавтів, 59 а, в т. ч. проектно-кошторисна документація та експертиза</t>
  </si>
  <si>
    <t>Капітальний ремонт в частині заміни вікон та вхідних дверей в під’їздах будинку за адресою: м. Миколаїв, вул. Лазурна, 28, в т. ч. проектно-кошторисна документація та експертиза</t>
  </si>
  <si>
    <t>Капітальний ремонт в частині заміни вікон та вхідних дверей в під’їздах будинку за адресою: м. Миколаїв, вул. Галини Петрової, 18, в т. ч. проектно-кошторисна документація та експертиза</t>
  </si>
  <si>
    <t>Капітальний ремонт в частині заміни вікон та вхідних дверей в під’їздах будинку за адресою: м. Миколаїв, вул. Ольжича, 1а,  в т. ч. проектно-кошторисна документація та експертиза</t>
  </si>
  <si>
    <t>Капітальний ремонт в частині заміни вікон та вхідних дверей в під’їздах будинку за адресою: м. Миколаїв, вул. Ольжича, 1б,  в т. ч. проектно-кошторисна документація та експертиза</t>
  </si>
  <si>
    <t>Капітальний ремонт в частині заміни вікон та вхідних дверей в під’їздах будинку за адресою: м. Миколаїв, вул. Ольжича, 1в,  в т. ч. проектно-кошторисна документація та експертиза</t>
  </si>
  <si>
    <t>Капітальний ремонт з термомодернізацією загальноосвітньої школи І-ІІІ ст. №42, вул. Електронна, 73, м.Миколаїв</t>
  </si>
  <si>
    <t>Капітальний ремонт з термомодернізацією загальноосвітньої школи І-ІІІ ст. №1 О.Ольжича, вул.Айвазовського,8 , м.Миколаїв</t>
  </si>
  <si>
    <t>ТОВ  Інпроектбуд</t>
  </si>
  <si>
    <t>Капітальний ремонтсистеми опалення, вентиляції та кондиціонування концерт-хол "Юність", пр. Богоявленський, 39-А , м.Миколаїв</t>
  </si>
  <si>
    <t xml:space="preserve">ФОП Ігнатьєва Ю.О.
</t>
  </si>
  <si>
    <t xml:space="preserve">ФОП Канівченко В.Г.  </t>
  </si>
  <si>
    <t>Автор.нагляд 2018</t>
  </si>
  <si>
    <t>Реконструкція в частині термоса нації будівлі  Миколаївської загальноосвітньої школи  І-ІІІ ступенів № 23 за адресою: м. Миколаїв, вул. Гарнізонна, 10.</t>
  </si>
  <si>
    <t>Реконструкція в частині термосанації будівлі  Миколаївської загальноосвітньої школи  І-ІІІ ступенів № 44 за адресою: м. Миколаїв, вул. Знаменська, 2/6.</t>
  </si>
  <si>
    <t>Капітальний ремонт з термомодернізацією дитячий будинок творчості дітей та юнацтва, вул. Космонавтів, 128 А, м.Миколаїв</t>
  </si>
  <si>
    <t>Реконструкція в частині термосанації будівлі  Миколаївської загальноосвітньої школи  І-ІІІ ступенів № 16 за адресою: м. Миколаїв,  вул. Горького (вул.Христо Ботєва), 41, в т.ч. проектно-вишукувальні роботи та експертиза</t>
  </si>
  <si>
    <t>Реконструкція в частині термосанації будівлі дошкільного навчального закладу № 141 за адресою: м. Миколаїв, пр. Г. Сталінграду (пр. Героїв України), 85-А,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</si>
  <si>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 48 за адресою: м. Миколаїв, вул. Генерала Попеля, 164, в т.ч. проектно-вишукувальні роботи та експертиза</t>
  </si>
  <si>
    <t xml:space="preserve">        </t>
  </si>
  <si>
    <t>172,762,8</t>
  </si>
  <si>
    <t>Капітальний ремонт в частині заміни вікон та вхідних дверей в під’їздах житлового будинку за адресою: м. Миколаїв, вул. Новозаводська, 8,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</si>
  <si>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Крилова, 13,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</si>
  <si>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Лазурна, 36,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</si>
  <si>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Чайковського, 25,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</si>
  <si>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Космонавтів, 148,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</si>
  <si>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Космонавтів, 150,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</si>
  <si>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Крилова, 54,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</si>
  <si>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Лазурна, 42,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</si>
  <si>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 Погранична, 80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</si>
  <si>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Терасна, 14,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</si>
  <si>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Курортна, 3 Б,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</si>
  <si>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Дачна, 13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</si>
  <si>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Проспект Героїв України, 75 В,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</si>
  <si>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Озерна, 15 Б,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</si>
  <si>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Озерна, 15 В,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</si>
  <si>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Генерала Карпенка, 9,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</si>
  <si>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провул. Першотравневий, 63,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</si>
  <si>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Райдужна, 30,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</si>
  <si>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Вінграновського, 43,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</si>
  <si>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пр. Богоявленський, 39,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</si>
  <si>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Миколаївська, 28,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</si>
  <si>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пр. Богоявленський, 55,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</si>
  <si>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Генерала Карпенка, 51,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</si>
  <si>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Космонавтів, 68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</si>
  <si>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Лазурна, 24,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</si>
  <si>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Лазурна, 24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</si>
  <si>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пр. Богоявленський, 37,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</si>
  <si>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Олійника, 3,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</si>
  <si>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Космонавтів, 82,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</si>
  <si>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Будівельників, 18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</si>
  <si>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пр. Богоявленський, 33,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</si>
  <si>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Миколаївська, 32,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</si>
  <si>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 Миколаївська, 36,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</si>
  <si>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 4 Поздовжня, 87,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</si>
  <si>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Лазурна, 24 Б,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</si>
  <si>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Лазурна, 18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</si>
  <si>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пр. Богоявленський, 293,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</si>
  <si>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Океанівська, 8, в т.ч. проектно-кошторисна документація та експертиза</t>
  </si>
  <si>
    <t>Капітальний ремонт в частині заміни вікон та вхідних дверей в під’їздах житлового будинку за адресою: м. Миколаїв, вул. Велика Морська, 7,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</si>
  <si>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 м. Миколаїв, вул. Будівельників, 18, в т.ч. проектно-кошторисна документація та експертиза</t>
  </si>
  <si>
    <t xml:space="preserve">Капітальний ремонт в частині заміни вікон та вхідних дверей в під’їздах житлового будинку за адресою: м. Миколаїв, вул. Велика Морська, 22, в т.ч. проектно-кошторисна документація та експертиза </t>
  </si>
  <si>
    <t>Капітальний ремонт в частині заміни вікон та вхідних дверей в під’їздах житлового будинку за адресою: м. Миколаїв, вул. Південна, 31 Б,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</si>
  <si>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 Вінграновського, 41,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</si>
  <si>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 Космонавтів, 142 В,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</si>
  <si>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 м. Миколаїв, вул. Космонавтів, 59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</si>
  <si>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 Георгія Гонгадзе, 30,в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</si>
  <si>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 Олега Григор’єва, 10 Б,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</si>
  <si>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Океанівська, 38А,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</si>
  <si>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Космонавтів, 58,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</si>
  <si>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Лазурна, 30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</si>
  <si>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Київська, 6,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</si>
  <si>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 Миколаїв, вул. Чайковського, 27,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</si>
  <si>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 Космонавтів, 142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</si>
  <si>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 Космонавтів, 142 Б,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</si>
  <si>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Херсонське шосе, 38,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</si>
  <si>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Херсонське шосе, 30,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</si>
  <si>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Озерна, 19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</si>
  <si>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Айвазовського, 5 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</si>
  <si>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5 Слобідська, 76,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</si>
  <si>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Океанівська, 32В,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</si>
  <si>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Океанівська, 22,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</si>
  <si>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Океанівська, 50,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</si>
  <si>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Космонавтів, 138Б,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</si>
  <si>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Електрона, 56А,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</si>
  <si>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Електрона, 61, в т.ч. проектно-кошторисна документація та експертиза</t>
  </si>
  <si>
    <t>Капітальний ремонт в частині заміни вікон та вхідних дверей в під’їздах житлового будинку за адресою: м. Миколаїв, вул. Глінки, 6, в т.ч. проектно-кошторисна документація та експертиза</t>
  </si>
  <si>
    <t>ТОВ "АРХ ДИЗАЙН"</t>
  </si>
  <si>
    <t>за станом на 31.12.2018 року</t>
  </si>
  <si>
    <t>Депутат по виборчому округу</t>
  </si>
  <si>
    <t>Підстави для включення об'єкту до переліку</t>
  </si>
  <si>
    <t>перелік виконаних робіт за 2018 рік</t>
  </si>
  <si>
    <t xml:space="preserve"> ТОВ Голден-Буд</t>
  </si>
  <si>
    <t xml:space="preserve">
ТОВ БК "Будремконструкція"
</t>
  </si>
  <si>
    <t xml:space="preserve">
ТОВ Голден-Буд
</t>
  </si>
  <si>
    <t xml:space="preserve">
ФОП Ястреб ФОП </t>
  </si>
  <si>
    <t xml:space="preserve">  ФОП Мовенко С.М. </t>
  </si>
  <si>
    <t xml:space="preserve">
ТОВ Будремкнструкція
</t>
  </si>
  <si>
    <t>розроблено ПКД</t>
  </si>
  <si>
    <t>Заміна вікон та дверей</t>
  </si>
  <si>
    <t>Встановлення вікон та дверей</t>
  </si>
  <si>
    <t xml:space="preserve">
ТОВ "Голден-Буд"
</t>
  </si>
  <si>
    <t xml:space="preserve"> 
ТОВ Голден-Буд</t>
  </si>
  <si>
    <t xml:space="preserve">
ТОВ Голден-Буд</t>
  </si>
  <si>
    <t>ФОП Ястреб</t>
  </si>
  <si>
    <t xml:space="preserve">
ТОВ БК Будремкнструкція
</t>
  </si>
  <si>
    <t xml:space="preserve">
ФОП Ястреб Г.А.
</t>
  </si>
  <si>
    <t xml:space="preserve">.
ФОП Ястреб Г.А.
</t>
  </si>
  <si>
    <t xml:space="preserve"> 
ФОП Ястреб Г.А.
</t>
  </si>
  <si>
    <t xml:space="preserve">
ТОВ Будремконструкція
</t>
  </si>
  <si>
    <t xml:space="preserve">
ТОВ Голден-Буд </t>
  </si>
  <si>
    <t xml:space="preserve">
ФОП Ястреб  ФОП </t>
  </si>
  <si>
    <t xml:space="preserve">
ТОВ Голден-Буд  </t>
  </si>
  <si>
    <t xml:space="preserve">
ФОП Ястреб  </t>
  </si>
  <si>
    <t xml:space="preserve"> ФОП Ястреб
</t>
  </si>
  <si>
    <t xml:space="preserve">
ТОВ БК"Будремконструкція
</t>
  </si>
  <si>
    <t xml:space="preserve"> ФОП Ястреб</t>
  </si>
  <si>
    <t xml:space="preserve">
ФОП Ястреб   </t>
  </si>
  <si>
    <t xml:space="preserve">
ФОП "Голден-Буд"
</t>
  </si>
  <si>
    <t xml:space="preserve">.
ТОВ "Голден-Буд"
</t>
  </si>
  <si>
    <t xml:space="preserve">
ФОП Ястреб
</t>
  </si>
  <si>
    <t xml:space="preserve">
ТОВ БК Будремконструкція   </t>
  </si>
  <si>
    <t xml:space="preserve"> 
ТОВ "Голден-Буд"
</t>
  </si>
  <si>
    <t xml:space="preserve"> 
ТОВ "Голден-Буд"</t>
  </si>
  <si>
    <t xml:space="preserve">
ТОВ Будремконструкція</t>
  </si>
  <si>
    <t xml:space="preserve">ТОВ "ПІВДЕНЬБУД МИКОЛАЇВ ЛТД"
</t>
  </si>
  <si>
    <t xml:space="preserve">ТОВ "ФАСАД-ЦЕНТР"
</t>
  </si>
  <si>
    <t xml:space="preserve">ТОВ "Голден-Буд"
</t>
  </si>
  <si>
    <t>Дюмин А.Г.</t>
  </si>
  <si>
    <t>Грозов А.А.</t>
  </si>
  <si>
    <t>Кучеревська Т.В.</t>
  </si>
  <si>
    <t>Концевой І.О.</t>
  </si>
  <si>
    <t>Веселовська Л.І.</t>
  </si>
  <si>
    <t>Янков В.С.</t>
  </si>
  <si>
    <t>Манзюк Н.І.</t>
  </si>
  <si>
    <t>Мішкур С.С.</t>
  </si>
  <si>
    <t>Дюмін А.Г.</t>
  </si>
  <si>
    <t>Євтушенко В.В.</t>
  </si>
  <si>
    <t>Гусєв О.С.</t>
  </si>
  <si>
    <t>Жайворонок С.І.</t>
  </si>
  <si>
    <t>Петров А.Г.</t>
  </si>
  <si>
    <t>Депутата не обрано</t>
  </si>
  <si>
    <t>Садиков В.В.</t>
  </si>
  <si>
    <t>Танасевич З.М.</t>
  </si>
  <si>
    <t>Жвавий Д.К.</t>
  </si>
  <si>
    <t>Суслова Т.М.</t>
  </si>
  <si>
    <t>Зоткін П.С.</t>
  </si>
  <si>
    <t>Рєпін О.В.</t>
  </si>
  <si>
    <t>Бурганенко О.І.</t>
  </si>
  <si>
    <t>Бургненко О.І.</t>
  </si>
  <si>
    <t>Депутата  не  обрано</t>
  </si>
  <si>
    <t>Горбуров К.Є.</t>
  </si>
  <si>
    <t>Малікін О.В.</t>
  </si>
  <si>
    <t xml:space="preserve">Територіальний виборчий округ № 36  </t>
  </si>
  <si>
    <t>Територіальний виборчий округ № 26</t>
  </si>
  <si>
    <t>Територіальний виборчий округ № 18</t>
  </si>
  <si>
    <t>Апанасенко В.В.</t>
  </si>
  <si>
    <t>Територіальний виборчий округ № 36</t>
  </si>
  <si>
    <t>Кантор С.А.</t>
  </si>
  <si>
    <t>Карцев С.М.</t>
  </si>
  <si>
    <t>Горбенко Н.О.</t>
  </si>
  <si>
    <t>Єнтин В.О.</t>
  </si>
  <si>
    <t>Кісельова О.В.</t>
  </si>
  <si>
    <t>Панченко Ф.Б.</t>
  </si>
  <si>
    <t>Казакова Т.В.</t>
  </si>
  <si>
    <t>Територіальний виборчий округ № 1</t>
  </si>
  <si>
    <t>Ласурія С.А.</t>
  </si>
  <si>
    <t>розпочато ремонтні роботи</t>
  </si>
  <si>
    <t>Розроблено ПКД</t>
  </si>
  <si>
    <t>Завершено ремонтні роботи</t>
  </si>
  <si>
    <t>ФОП Канівченко</t>
  </si>
  <si>
    <t>ТОВ "Южний город"</t>
  </si>
  <si>
    <t>Міська програма "Теплий Миколаїв", звернення громадян та депутатів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</si>
</sst>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00_р_."/>
    <numFmt numFmtId="183" formatCode="#,##0.000"/>
    <numFmt numFmtId="184" formatCode="#,##0.0"/>
    <numFmt numFmtId="185" formatCode="0.0000"/>
    <numFmt numFmtId="186" formatCode="0.00000"/>
    <numFmt numFmtId="187" formatCode="#,##0.0000"/>
    <numFmt numFmtId="188" formatCode="#,##0.00000"/>
    <numFmt numFmtId="189" formatCode="0.000000"/>
    <numFmt numFmtId="190" formatCode="[$-FC19]d\ mmmm\ yyyy\ &quot;г.&quot;"/>
    <numFmt numFmtId="191" formatCode="mmm/yyyy"/>
    <numFmt numFmtId="192" formatCode="#,##0.000000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9" tint="-0.24997000396251678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186" fontId="2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5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188" fontId="5" fillId="32" borderId="0" xfId="0" applyNumberFormat="1" applyFont="1" applyFill="1" applyAlignment="1">
      <alignment/>
    </xf>
    <xf numFmtId="1" fontId="2" fillId="32" borderId="0" xfId="0" applyNumberFormat="1" applyFont="1" applyFill="1" applyAlignment="1">
      <alignment/>
    </xf>
    <xf numFmtId="183" fontId="2" fillId="32" borderId="0" xfId="0" applyNumberFormat="1" applyFont="1" applyFill="1" applyAlignment="1">
      <alignment/>
    </xf>
    <xf numFmtId="2" fontId="2" fillId="32" borderId="0" xfId="0" applyNumberFormat="1" applyFont="1" applyFill="1" applyAlignment="1">
      <alignment/>
    </xf>
    <xf numFmtId="181" fontId="6" fillId="33" borderId="10" xfId="60" applyNumberFormat="1" applyFont="1" applyFill="1" applyBorder="1" applyAlignment="1">
      <alignment horizontal="center" vertical="center"/>
    </xf>
    <xf numFmtId="181" fontId="6" fillId="32" borderId="10" xfId="6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181" fontId="6" fillId="33" borderId="11" xfId="60" applyNumberFormat="1" applyFont="1" applyFill="1" applyBorder="1" applyAlignment="1">
      <alignment horizontal="center" vertical="center"/>
    </xf>
    <xf numFmtId="188" fontId="50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81" fontId="6" fillId="33" borderId="13" xfId="60" applyNumberFormat="1" applyFont="1" applyFill="1" applyBorder="1" applyAlignment="1">
      <alignment horizontal="center" vertical="center"/>
    </xf>
    <xf numFmtId="186" fontId="2" fillId="32" borderId="11" xfId="0" applyNumberFormat="1" applyFont="1" applyFill="1" applyBorder="1" applyAlignment="1">
      <alignment horizontal="center" vertical="center"/>
    </xf>
    <xf numFmtId="181" fontId="6" fillId="33" borderId="12" xfId="60" applyNumberFormat="1" applyFont="1" applyFill="1" applyBorder="1" applyAlignment="1">
      <alignment horizontal="center" vertical="center"/>
    </xf>
    <xf numFmtId="181" fontId="6" fillId="33" borderId="14" xfId="60" applyNumberFormat="1" applyFont="1" applyFill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188" fontId="2" fillId="34" borderId="10" xfId="0" applyNumberFormat="1" applyFont="1" applyFill="1" applyBorder="1" applyAlignment="1">
      <alignment horizontal="center" vertical="center"/>
    </xf>
    <xf numFmtId="181" fontId="6" fillId="32" borderId="13" xfId="6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88" fontId="9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/>
    </xf>
    <xf numFmtId="188" fontId="6" fillId="32" borderId="10" xfId="0" applyNumberFormat="1" applyFont="1" applyFill="1" applyBorder="1" applyAlignment="1">
      <alignment horizontal="center" vertical="center" wrapText="1"/>
    </xf>
    <xf numFmtId="183" fontId="6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50" fillId="32" borderId="10" xfId="0" applyFont="1" applyFill="1" applyBorder="1" applyAlignment="1">
      <alignment horizontal="center" vertical="center"/>
    </xf>
    <xf numFmtId="188" fontId="7" fillId="32" borderId="10" xfId="0" applyNumberFormat="1" applyFont="1" applyFill="1" applyBorder="1" applyAlignment="1">
      <alignment horizontal="center" vertical="center"/>
    </xf>
    <xf numFmtId="188" fontId="5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14" fontId="7" fillId="32" borderId="10" xfId="0" applyNumberFormat="1" applyFont="1" applyFill="1" applyBorder="1" applyAlignment="1">
      <alignment horizontal="center" vertical="center"/>
    </xf>
    <xf numFmtId="188" fontId="2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50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88" fontId="11" fillId="32" borderId="10" xfId="0" applyNumberFormat="1" applyFont="1" applyFill="1" applyBorder="1" applyAlignment="1">
      <alignment horizontal="center" vertical="center"/>
    </xf>
    <xf numFmtId="186" fontId="2" fillId="34" borderId="10" xfId="0" applyNumberFormat="1" applyFont="1" applyFill="1" applyBorder="1" applyAlignment="1">
      <alignment horizontal="center" vertical="center"/>
    </xf>
    <xf numFmtId="181" fontId="6" fillId="35" borderId="13" xfId="6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186" fontId="2" fillId="35" borderId="11" xfId="0" applyNumberFormat="1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88" fontId="8" fillId="32" borderId="10" xfId="0" applyNumberFormat="1" applyFont="1" applyFill="1" applyBorder="1" applyAlignment="1">
      <alignment horizontal="center" vertical="center"/>
    </xf>
    <xf numFmtId="188" fontId="11" fillId="32" borderId="15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188" fontId="50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86" fontId="50" fillId="32" borderId="10" xfId="0" applyNumberFormat="1" applyFont="1" applyFill="1" applyBorder="1" applyAlignment="1">
      <alignment horizontal="center" vertical="center" wrapText="1"/>
    </xf>
    <xf numFmtId="186" fontId="52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83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183" fontId="6" fillId="32" borderId="12" xfId="0" applyNumberFormat="1" applyFont="1" applyFill="1" applyBorder="1" applyAlignment="1">
      <alignment horizontal="left" vertical="center" wrapText="1"/>
    </xf>
    <xf numFmtId="183" fontId="6" fillId="32" borderId="12" xfId="0" applyNumberFormat="1" applyFont="1" applyFill="1" applyBorder="1" applyAlignment="1">
      <alignment horizontal="center" vertical="center" wrapText="1"/>
    </xf>
    <xf numFmtId="188" fontId="11" fillId="32" borderId="16" xfId="0" applyNumberFormat="1" applyFont="1" applyFill="1" applyBorder="1" applyAlignment="1">
      <alignment horizontal="center" vertical="center" wrapText="1"/>
    </xf>
    <xf numFmtId="188" fontId="9" fillId="32" borderId="12" xfId="0" applyNumberFormat="1" applyFont="1" applyFill="1" applyBorder="1" applyAlignment="1">
      <alignment horizontal="center" vertical="center"/>
    </xf>
    <xf numFmtId="188" fontId="6" fillId="32" borderId="12" xfId="0" applyNumberFormat="1" applyFont="1" applyFill="1" applyBorder="1" applyAlignment="1">
      <alignment horizontal="center" vertical="center"/>
    </xf>
    <xf numFmtId="186" fontId="5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88" fontId="6" fillId="32" borderId="12" xfId="0" applyNumberFormat="1" applyFont="1" applyFill="1" applyBorder="1" applyAlignment="1">
      <alignment horizontal="center" vertical="center" wrapText="1"/>
    </xf>
    <xf numFmtId="183" fontId="6" fillId="32" borderId="11" xfId="0" applyNumberFormat="1" applyFont="1" applyFill="1" applyBorder="1" applyAlignment="1">
      <alignment horizontal="center" vertical="center" wrapText="1"/>
    </xf>
    <xf numFmtId="188" fontId="11" fillId="32" borderId="17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83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2" fontId="10" fillId="32" borderId="0" xfId="0" applyNumberFormat="1" applyFont="1" applyFill="1" applyBorder="1" applyAlignment="1">
      <alignment horizontal="center" vertical="center" wrapText="1"/>
    </xf>
    <xf numFmtId="2" fontId="9" fillId="32" borderId="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2" fontId="9" fillId="32" borderId="2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2" fontId="4" fillId="32" borderId="22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8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2" fillId="32" borderId="2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50" fillId="32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32" borderId="0" xfId="0" applyFont="1" applyFill="1" applyAlignment="1">
      <alignment wrapText="1"/>
    </xf>
    <xf numFmtId="188" fontId="2" fillId="32" borderId="0" xfId="0" applyNumberFormat="1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AA39"/>
  <sheetViews>
    <sheetView tabSelected="1" zoomScale="50" zoomScaleNormal="50" zoomScaleSheetLayoutView="130" workbookViewId="0" topLeftCell="A4">
      <pane ySplit="3" topLeftCell="A10" activePane="bottomLeft" state="frozen"/>
      <selection pane="topLeft" activeCell="A4" sqref="A4"/>
      <selection pane="bottomLeft" activeCell="U15" sqref="U15"/>
    </sheetView>
  </sheetViews>
  <sheetFormatPr defaultColWidth="9.140625" defaultRowHeight="15"/>
  <cols>
    <col min="1" max="1" width="7.00390625" style="2" customWidth="1"/>
    <col min="2" max="4" width="9.140625" style="2" customWidth="1"/>
    <col min="5" max="6" width="27.57421875" style="2" customWidth="1"/>
    <col min="7" max="7" width="23.421875" style="2" customWidth="1"/>
    <col min="8" max="8" width="21.00390625" style="2" hidden="1" customWidth="1"/>
    <col min="9" max="9" width="16.7109375" style="2" hidden="1" customWidth="1"/>
    <col min="10" max="10" width="24.28125" style="2" hidden="1" customWidth="1"/>
    <col min="11" max="11" width="20.7109375" style="3" hidden="1" customWidth="1"/>
    <col min="12" max="12" width="17.421875" style="3" hidden="1" customWidth="1"/>
    <col min="13" max="13" width="17.00390625" style="3" hidden="1" customWidth="1"/>
    <col min="14" max="14" width="17.8515625" style="3" hidden="1" customWidth="1"/>
    <col min="15" max="15" width="16.7109375" style="3" hidden="1" customWidth="1"/>
    <col min="16" max="19" width="14.7109375" style="3" hidden="1" customWidth="1"/>
    <col min="20" max="20" width="21.140625" style="3" customWidth="1"/>
    <col min="21" max="21" width="17.8515625" style="150" customWidth="1"/>
    <col min="22" max="22" width="24.57421875" style="3" customWidth="1"/>
    <col min="23" max="16384" width="9.140625" style="2" customWidth="1"/>
  </cols>
  <sheetData>
    <row r="1" ht="26.25" customHeight="1"/>
    <row r="2" spans="1:27" ht="53.25" customHeight="1">
      <c r="A2" s="117" t="s">
        <v>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4"/>
      <c r="X2" s="4"/>
      <c r="Y2" s="4"/>
      <c r="Z2" s="4"/>
      <c r="AA2" s="80" t="s">
        <v>1</v>
      </c>
    </row>
    <row r="3" spans="1:27" ht="33.75" customHeight="1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4"/>
      <c r="X3" s="4"/>
      <c r="Y3" s="4"/>
      <c r="Z3" s="4"/>
      <c r="AA3" s="23"/>
    </row>
    <row r="4" spans="1:27" ht="43.5" customHeight="1">
      <c r="A4" s="120" t="s">
        <v>263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4"/>
      <c r="X4" s="4"/>
      <c r="Y4" s="4"/>
      <c r="Z4" s="4"/>
      <c r="AA4" s="23"/>
    </row>
    <row r="5" spans="1:26" ht="42" customHeight="1">
      <c r="A5" s="119" t="s">
        <v>2</v>
      </c>
      <c r="B5" s="119" t="s">
        <v>0</v>
      </c>
      <c r="C5" s="119"/>
      <c r="D5" s="119"/>
      <c r="E5" s="119"/>
      <c r="F5" s="110" t="s">
        <v>266</v>
      </c>
      <c r="G5" s="110" t="s">
        <v>13</v>
      </c>
      <c r="H5" s="115" t="s">
        <v>7</v>
      </c>
      <c r="I5" s="110" t="s">
        <v>6</v>
      </c>
      <c r="J5" s="109" t="s">
        <v>26</v>
      </c>
      <c r="K5" s="112" t="s">
        <v>12</v>
      </c>
      <c r="L5" s="113"/>
      <c r="M5" s="113"/>
      <c r="N5" s="113"/>
      <c r="O5" s="113"/>
      <c r="P5" s="113"/>
      <c r="Q5" s="113"/>
      <c r="R5" s="113"/>
      <c r="S5" s="114"/>
      <c r="T5" s="110" t="s">
        <v>14</v>
      </c>
      <c r="U5" s="106" t="s">
        <v>264</v>
      </c>
      <c r="V5" s="107" t="s">
        <v>265</v>
      </c>
      <c r="W5" s="4"/>
      <c r="X5" s="4"/>
      <c r="Y5" s="4"/>
      <c r="Z5" s="4"/>
    </row>
    <row r="6" spans="1:26" ht="80.25" customHeight="1">
      <c r="A6" s="119"/>
      <c r="B6" s="119"/>
      <c r="C6" s="119"/>
      <c r="D6" s="119"/>
      <c r="E6" s="119"/>
      <c r="F6" s="116"/>
      <c r="G6" s="111"/>
      <c r="H6" s="115"/>
      <c r="I6" s="111"/>
      <c r="J6" s="109"/>
      <c r="K6" s="43" t="s">
        <v>4</v>
      </c>
      <c r="L6" s="43" t="s">
        <v>167</v>
      </c>
      <c r="M6" s="43" t="s">
        <v>5</v>
      </c>
      <c r="N6" s="43" t="s">
        <v>165</v>
      </c>
      <c r="O6" s="43" t="s">
        <v>162</v>
      </c>
      <c r="P6" s="43" t="s">
        <v>166</v>
      </c>
      <c r="Q6" s="43" t="s">
        <v>163</v>
      </c>
      <c r="R6" s="43" t="s">
        <v>187</v>
      </c>
      <c r="S6" s="43" t="s">
        <v>168</v>
      </c>
      <c r="T6" s="111"/>
      <c r="U6" s="106"/>
      <c r="V6" s="108"/>
      <c r="W6" s="4"/>
      <c r="X6" s="4"/>
      <c r="Y6" s="4"/>
      <c r="Z6" s="4"/>
    </row>
    <row r="7" spans="1:22" ht="124.5" customHeight="1">
      <c r="A7" s="43">
        <v>3</v>
      </c>
      <c r="B7" s="105" t="s">
        <v>22</v>
      </c>
      <c r="C7" s="105"/>
      <c r="D7" s="105"/>
      <c r="E7" s="105"/>
      <c r="F7" s="74" t="s">
        <v>342</v>
      </c>
      <c r="G7" s="74" t="s">
        <v>300</v>
      </c>
      <c r="H7" s="73">
        <v>9103.303</v>
      </c>
      <c r="I7" s="73"/>
      <c r="J7" s="73">
        <v>3000</v>
      </c>
      <c r="K7" s="81" t="s">
        <v>27</v>
      </c>
      <c r="L7" s="81" t="s">
        <v>27</v>
      </c>
      <c r="M7" s="44">
        <v>2921.2185</v>
      </c>
      <c r="N7" s="44">
        <f>876.36555+202.18664+955.22584+887.44047</f>
        <v>2921.2185</v>
      </c>
      <c r="O7" s="44">
        <v>203.72225</v>
      </c>
      <c r="P7" s="44">
        <f>42.58774+18.77803</f>
        <v>61.36577</v>
      </c>
      <c r="Q7" s="44">
        <v>23.7006</v>
      </c>
      <c r="R7" s="44">
        <v>7.00245</v>
      </c>
      <c r="S7" s="44"/>
      <c r="T7" s="44">
        <f>N7+P7</f>
        <v>2982.58427</v>
      </c>
      <c r="U7" s="45" t="s">
        <v>337</v>
      </c>
      <c r="V7" s="89" t="s">
        <v>347</v>
      </c>
    </row>
    <row r="8" spans="1:22" ht="79.5" customHeight="1">
      <c r="A8" s="43">
        <v>5</v>
      </c>
      <c r="B8" s="105" t="s">
        <v>23</v>
      </c>
      <c r="C8" s="105"/>
      <c r="D8" s="105"/>
      <c r="E8" s="105"/>
      <c r="F8" s="74" t="s">
        <v>343</v>
      </c>
      <c r="G8" s="74" t="s">
        <v>345</v>
      </c>
      <c r="H8" s="73">
        <v>20629.6</v>
      </c>
      <c r="I8" s="73"/>
      <c r="J8" s="73">
        <v>405</v>
      </c>
      <c r="K8" s="56">
        <f>360.7584+44.2416</f>
        <v>405</v>
      </c>
      <c r="L8" s="56">
        <v>405</v>
      </c>
      <c r="M8" s="44"/>
      <c r="N8" s="44"/>
      <c r="O8" s="44"/>
      <c r="P8" s="44"/>
      <c r="Q8" s="44"/>
      <c r="R8" s="44"/>
      <c r="S8" s="44"/>
      <c r="T8" s="44">
        <f>L8</f>
        <v>405</v>
      </c>
      <c r="U8" s="45" t="s">
        <v>338</v>
      </c>
      <c r="V8" s="89" t="s">
        <v>347</v>
      </c>
    </row>
    <row r="9" spans="1:22" ht="123" customHeight="1">
      <c r="A9" s="43">
        <v>6</v>
      </c>
      <c r="B9" s="105" t="s">
        <v>24</v>
      </c>
      <c r="C9" s="105"/>
      <c r="D9" s="105"/>
      <c r="E9" s="105"/>
      <c r="F9" s="74" t="s">
        <v>344</v>
      </c>
      <c r="G9" s="74" t="s">
        <v>301</v>
      </c>
      <c r="H9" s="73">
        <v>9321.311</v>
      </c>
      <c r="I9" s="73"/>
      <c r="J9" s="73">
        <f>10585.903+500</f>
        <v>11085.903</v>
      </c>
      <c r="K9" s="44">
        <f>131.59703+2.40297+94.52089</f>
        <v>228.52089</v>
      </c>
      <c r="L9" s="66">
        <f>39.47911+94.52089</f>
        <v>134</v>
      </c>
      <c r="M9" s="45">
        <f>8226.3483-116.95471+2558.5327</f>
        <v>10667.92629</v>
      </c>
      <c r="N9" s="45">
        <f>2467.90449+1357.43627+751.84587+1526.81696+1568.70903+436.68097+2558.5327</f>
        <v>10667.926290000001</v>
      </c>
      <c r="O9" s="45">
        <f>199.36504-5.58204+52.54506</f>
        <v>246.32806</v>
      </c>
      <c r="P9" s="45">
        <f>93.72123+53.61759+10.74337+36.02866+52.54506-5.43414</f>
        <v>241.22177</v>
      </c>
      <c r="Q9" s="45">
        <f>26.19+12.5</f>
        <v>38.69</v>
      </c>
      <c r="R9" s="45">
        <f>26.19+12.5</f>
        <v>38.69</v>
      </c>
      <c r="S9" s="45">
        <f>26.19+12.5</f>
        <v>38.69</v>
      </c>
      <c r="T9" s="45">
        <f>S9+P9+N9+L9</f>
        <v>11081.838060000002</v>
      </c>
      <c r="U9" s="45" t="s">
        <v>326</v>
      </c>
      <c r="V9" s="89" t="s">
        <v>347</v>
      </c>
    </row>
    <row r="10" spans="1:22" ht="80.25" customHeight="1">
      <c r="A10" s="43">
        <v>7</v>
      </c>
      <c r="B10" s="105" t="s">
        <v>25</v>
      </c>
      <c r="C10" s="105"/>
      <c r="D10" s="105"/>
      <c r="E10" s="105"/>
      <c r="F10" s="85" t="s">
        <v>342</v>
      </c>
      <c r="G10" s="74" t="s">
        <v>302</v>
      </c>
      <c r="H10" s="73">
        <v>31675.243</v>
      </c>
      <c r="I10" s="46"/>
      <c r="J10" s="73">
        <v>8693.088</v>
      </c>
      <c r="K10" s="81" t="s">
        <v>27</v>
      </c>
      <c r="L10" s="81" t="s">
        <v>27</v>
      </c>
      <c r="M10" s="44">
        <f>11161.85963-2866.34645</f>
        <v>8295.513180000002</v>
      </c>
      <c r="N10" s="44">
        <f>5272.65026+3022.86292</f>
        <v>8295.51318</v>
      </c>
      <c r="O10" s="44">
        <v>741.4071</v>
      </c>
      <c r="P10" s="44">
        <v>176.05094</v>
      </c>
      <c r="Q10" s="44">
        <v>15</v>
      </c>
      <c r="R10" s="44">
        <f>5.257</f>
        <v>5.257</v>
      </c>
      <c r="S10" s="44">
        <v>1.62</v>
      </c>
      <c r="T10" s="44">
        <f>S10+P10+N10</f>
        <v>8473.18412</v>
      </c>
      <c r="U10" s="45" t="s">
        <v>339</v>
      </c>
      <c r="V10" s="89" t="s">
        <v>347</v>
      </c>
    </row>
    <row r="11" spans="1:22" ht="108" customHeight="1">
      <c r="A11" s="43">
        <v>10</v>
      </c>
      <c r="B11" s="105" t="s">
        <v>193</v>
      </c>
      <c r="C11" s="105"/>
      <c r="D11" s="105"/>
      <c r="E11" s="105"/>
      <c r="F11" s="85" t="s">
        <v>343</v>
      </c>
      <c r="G11" s="74" t="s">
        <v>346</v>
      </c>
      <c r="H11" s="73">
        <v>51674</v>
      </c>
      <c r="I11" s="46"/>
      <c r="J11" s="73">
        <v>739.919</v>
      </c>
      <c r="K11" s="44">
        <v>414.7</v>
      </c>
      <c r="L11" s="44">
        <f>384.6996+302.78</f>
        <v>687.4795999999999</v>
      </c>
      <c r="M11" s="44"/>
      <c r="N11" s="44"/>
      <c r="O11" s="44"/>
      <c r="P11" s="44"/>
      <c r="Q11" s="44"/>
      <c r="R11" s="44"/>
      <c r="S11" s="44"/>
      <c r="T11" s="44">
        <f aca="true" t="shared" si="0" ref="T11:T21">L11</f>
        <v>687.4795999999999</v>
      </c>
      <c r="U11" s="45" t="s">
        <v>335</v>
      </c>
      <c r="V11" s="89" t="s">
        <v>347</v>
      </c>
    </row>
    <row r="12" spans="1:22" ht="111" customHeight="1">
      <c r="A12" s="43">
        <v>11</v>
      </c>
      <c r="B12" s="105" t="s">
        <v>192</v>
      </c>
      <c r="C12" s="105"/>
      <c r="D12" s="105"/>
      <c r="E12" s="105"/>
      <c r="F12" s="85" t="s">
        <v>343</v>
      </c>
      <c r="G12" s="74" t="s">
        <v>28</v>
      </c>
      <c r="H12" s="73">
        <v>28066.655</v>
      </c>
      <c r="I12" s="46"/>
      <c r="J12" s="73">
        <v>952.226</v>
      </c>
      <c r="K12" s="44">
        <f>177.4998+177.4998+177.4998+325.2246+32.48809</f>
        <v>890.21209</v>
      </c>
      <c r="L12" s="44">
        <f>177.4998+177.4998+177.4998+325.2246+32.48809</f>
        <v>890.21209</v>
      </c>
      <c r="M12" s="42" t="s">
        <v>27</v>
      </c>
      <c r="N12" s="42" t="s">
        <v>27</v>
      </c>
      <c r="O12" s="42" t="s">
        <v>27</v>
      </c>
      <c r="P12" s="42" t="s">
        <v>27</v>
      </c>
      <c r="Q12" s="42" t="s">
        <v>27</v>
      </c>
      <c r="R12" s="42" t="s">
        <v>27</v>
      </c>
      <c r="S12" s="42" t="s">
        <v>27</v>
      </c>
      <c r="T12" s="44">
        <f t="shared" si="0"/>
        <v>890.21209</v>
      </c>
      <c r="U12" s="45" t="s">
        <v>327</v>
      </c>
      <c r="V12" s="89" t="s">
        <v>347</v>
      </c>
    </row>
    <row r="13" spans="1:22" ht="77.25" customHeight="1" thickBot="1">
      <c r="A13" s="43">
        <v>12</v>
      </c>
      <c r="B13" s="105" t="s">
        <v>16</v>
      </c>
      <c r="C13" s="105"/>
      <c r="D13" s="105"/>
      <c r="E13" s="105"/>
      <c r="F13" s="85" t="s">
        <v>343</v>
      </c>
      <c r="G13" s="74" t="s">
        <v>30</v>
      </c>
      <c r="H13" s="73">
        <v>42351.802</v>
      </c>
      <c r="I13" s="46"/>
      <c r="J13" s="73">
        <v>1203.449</v>
      </c>
      <c r="K13" s="73">
        <f>1203.449+27</f>
        <v>1230.449</v>
      </c>
      <c r="L13" s="44">
        <f>152.4435+152.4435+152.4435+590.3925+27</f>
        <v>1074.723</v>
      </c>
      <c r="M13" s="42" t="s">
        <v>27</v>
      </c>
      <c r="N13" s="42" t="s">
        <v>27</v>
      </c>
      <c r="O13" s="42" t="s">
        <v>27</v>
      </c>
      <c r="P13" s="42" t="s">
        <v>27</v>
      </c>
      <c r="Q13" s="42" t="s">
        <v>27</v>
      </c>
      <c r="R13" s="42" t="s">
        <v>27</v>
      </c>
      <c r="S13" s="42" t="s">
        <v>27</v>
      </c>
      <c r="T13" s="44">
        <f t="shared" si="0"/>
        <v>1074.723</v>
      </c>
      <c r="U13" s="45" t="s">
        <v>316</v>
      </c>
      <c r="V13" s="89" t="s">
        <v>347</v>
      </c>
    </row>
    <row r="14" spans="1:22" ht="81.75" customHeight="1" thickBot="1">
      <c r="A14" s="43">
        <v>13</v>
      </c>
      <c r="B14" s="105" t="s">
        <v>17</v>
      </c>
      <c r="C14" s="105"/>
      <c r="D14" s="105"/>
      <c r="E14" s="105"/>
      <c r="F14" s="85" t="s">
        <v>343</v>
      </c>
      <c r="G14" s="74" t="s">
        <v>30</v>
      </c>
      <c r="H14" s="73">
        <v>30679.614</v>
      </c>
      <c r="I14" s="46"/>
      <c r="J14" s="73">
        <v>1063.511</v>
      </c>
      <c r="K14" s="82">
        <f>305.157+152.5785+465.68014</f>
        <v>923.4156399999999</v>
      </c>
      <c r="L14" s="82">
        <f>152.5785+152.5785+152.5785+465.68014</f>
        <v>923.4156399999999</v>
      </c>
      <c r="M14" s="42" t="s">
        <v>27</v>
      </c>
      <c r="N14" s="42" t="s">
        <v>27</v>
      </c>
      <c r="O14" s="42" t="s">
        <v>27</v>
      </c>
      <c r="P14" s="42" t="s">
        <v>27</v>
      </c>
      <c r="Q14" s="42" t="s">
        <v>27</v>
      </c>
      <c r="R14" s="42" t="s">
        <v>27</v>
      </c>
      <c r="S14" s="42" t="s">
        <v>27</v>
      </c>
      <c r="T14" s="44">
        <f t="shared" si="0"/>
        <v>923.4156399999999</v>
      </c>
      <c r="U14" s="45" t="s">
        <v>316</v>
      </c>
      <c r="V14" s="89" t="s">
        <v>347</v>
      </c>
    </row>
    <row r="15" spans="1:22" ht="83.25" customHeight="1" thickBot="1">
      <c r="A15" s="43">
        <v>14</v>
      </c>
      <c r="B15" s="105" t="s">
        <v>18</v>
      </c>
      <c r="C15" s="105"/>
      <c r="D15" s="105"/>
      <c r="E15" s="105"/>
      <c r="F15" s="85" t="s">
        <v>343</v>
      </c>
      <c r="G15" s="74" t="s">
        <v>28</v>
      </c>
      <c r="H15" s="73">
        <v>34874.171</v>
      </c>
      <c r="I15" s="46"/>
      <c r="J15" s="73">
        <v>1050.915</v>
      </c>
      <c r="K15" s="82">
        <f>315.9066+157.9533+550.0551+27</f>
        <v>1050.915</v>
      </c>
      <c r="L15" s="82">
        <f>315.9066+157.9533+550.0551+27</f>
        <v>1050.915</v>
      </c>
      <c r="M15" s="42" t="s">
        <v>27</v>
      </c>
      <c r="N15" s="42" t="s">
        <v>27</v>
      </c>
      <c r="O15" s="42" t="s">
        <v>27</v>
      </c>
      <c r="P15" s="42" t="s">
        <v>27</v>
      </c>
      <c r="Q15" s="42" t="s">
        <v>27</v>
      </c>
      <c r="R15" s="42" t="s">
        <v>27</v>
      </c>
      <c r="S15" s="42" t="s">
        <v>27</v>
      </c>
      <c r="T15" s="44">
        <f t="shared" si="0"/>
        <v>1050.915</v>
      </c>
      <c r="U15" s="45" t="s">
        <v>316</v>
      </c>
      <c r="V15" s="89" t="s">
        <v>347</v>
      </c>
    </row>
    <row r="16" spans="1:22" ht="89.25" customHeight="1" thickBot="1">
      <c r="A16" s="43">
        <v>15</v>
      </c>
      <c r="B16" s="105" t="s">
        <v>19</v>
      </c>
      <c r="C16" s="105"/>
      <c r="D16" s="105"/>
      <c r="E16" s="105"/>
      <c r="F16" s="85" t="s">
        <v>343</v>
      </c>
      <c r="G16" s="74" t="s">
        <v>29</v>
      </c>
      <c r="H16" s="73">
        <v>61619.634</v>
      </c>
      <c r="I16" s="46"/>
      <c r="J16" s="73">
        <v>909.896</v>
      </c>
      <c r="K16" s="82">
        <v>809.895</v>
      </c>
      <c r="L16" s="82">
        <f>305.937+142.1196+361.8384</f>
        <v>809.895</v>
      </c>
      <c r="M16" s="42" t="s">
        <v>27</v>
      </c>
      <c r="N16" s="42" t="s">
        <v>27</v>
      </c>
      <c r="O16" s="42" t="s">
        <v>27</v>
      </c>
      <c r="P16" s="42" t="s">
        <v>27</v>
      </c>
      <c r="Q16" s="42" t="s">
        <v>27</v>
      </c>
      <c r="R16" s="42" t="s">
        <v>27</v>
      </c>
      <c r="S16" s="42" t="s">
        <v>27</v>
      </c>
      <c r="T16" s="44">
        <f t="shared" si="0"/>
        <v>809.895</v>
      </c>
      <c r="U16" s="45" t="s">
        <v>329</v>
      </c>
      <c r="V16" s="89" t="s">
        <v>347</v>
      </c>
    </row>
    <row r="17" spans="1:22" ht="80.25" customHeight="1" thickBot="1">
      <c r="A17" s="43">
        <v>16</v>
      </c>
      <c r="B17" s="105" t="s">
        <v>20</v>
      </c>
      <c r="C17" s="105"/>
      <c r="D17" s="105"/>
      <c r="E17" s="105"/>
      <c r="F17" s="85" t="s">
        <v>343</v>
      </c>
      <c r="G17" s="74" t="s">
        <v>28</v>
      </c>
      <c r="H17" s="73">
        <v>69720.361</v>
      </c>
      <c r="I17" s="46"/>
      <c r="J17" s="73">
        <v>1513.065</v>
      </c>
      <c r="K17" s="82">
        <f>422.33812+1005.86188</f>
        <v>1428.2</v>
      </c>
      <c r="L17" s="82">
        <f>422.33812+1005.86188+61.8</f>
        <v>1490</v>
      </c>
      <c r="M17" s="42" t="s">
        <v>27</v>
      </c>
      <c r="N17" s="42" t="s">
        <v>27</v>
      </c>
      <c r="O17" s="42" t="s">
        <v>27</v>
      </c>
      <c r="P17" s="42" t="s">
        <v>27</v>
      </c>
      <c r="Q17" s="42" t="s">
        <v>27</v>
      </c>
      <c r="R17" s="42" t="s">
        <v>27</v>
      </c>
      <c r="S17" s="42" t="s">
        <v>27</v>
      </c>
      <c r="T17" s="44">
        <f t="shared" si="0"/>
        <v>1490</v>
      </c>
      <c r="U17" s="45" t="s">
        <v>313</v>
      </c>
      <c r="V17" s="89" t="s">
        <v>347</v>
      </c>
    </row>
    <row r="18" spans="1:22" ht="105.75" customHeight="1" thickBot="1">
      <c r="A18" s="43">
        <v>17</v>
      </c>
      <c r="B18" s="105" t="s">
        <v>191</v>
      </c>
      <c r="C18" s="105"/>
      <c r="D18" s="105"/>
      <c r="E18" s="105"/>
      <c r="F18" s="85" t="s">
        <v>343</v>
      </c>
      <c r="G18" s="74" t="s">
        <v>31</v>
      </c>
      <c r="H18" s="73">
        <v>64690.768</v>
      </c>
      <c r="I18" s="46"/>
      <c r="J18" s="73">
        <v>1435.523</v>
      </c>
      <c r="K18" s="82">
        <f>241.971+120.9855+1011.9635</f>
        <v>1374.92</v>
      </c>
      <c r="L18" s="82">
        <f>241.971+120.9855+1011.9635+60.603</f>
        <v>1435.5230000000001</v>
      </c>
      <c r="M18" s="42" t="s">
        <v>27</v>
      </c>
      <c r="N18" s="42" t="s">
        <v>27</v>
      </c>
      <c r="O18" s="42" t="s">
        <v>27</v>
      </c>
      <c r="P18" s="42" t="s">
        <v>27</v>
      </c>
      <c r="Q18" s="42" t="s">
        <v>27</v>
      </c>
      <c r="R18" s="42" t="s">
        <v>27</v>
      </c>
      <c r="S18" s="42" t="s">
        <v>27</v>
      </c>
      <c r="T18" s="44">
        <f t="shared" si="0"/>
        <v>1435.5230000000001</v>
      </c>
      <c r="U18" s="45" t="s">
        <v>312</v>
      </c>
      <c r="V18" s="89" t="s">
        <v>347</v>
      </c>
    </row>
    <row r="19" spans="1:22" ht="82.5" customHeight="1" thickBot="1">
      <c r="A19" s="43">
        <v>18</v>
      </c>
      <c r="B19" s="105" t="s">
        <v>188</v>
      </c>
      <c r="C19" s="105"/>
      <c r="D19" s="105"/>
      <c r="E19" s="105"/>
      <c r="F19" s="85" t="s">
        <v>343</v>
      </c>
      <c r="G19" s="74" t="s">
        <v>169</v>
      </c>
      <c r="H19" s="73">
        <v>8382.48</v>
      </c>
      <c r="I19" s="46"/>
      <c r="J19" s="73">
        <v>516.15</v>
      </c>
      <c r="K19" s="82">
        <f>129.3708+129.3708+172.4944</f>
        <v>431.236</v>
      </c>
      <c r="L19" s="82">
        <f>129.3708+129.3708+172.4944</f>
        <v>431.236</v>
      </c>
      <c r="M19" s="42" t="s">
        <v>27</v>
      </c>
      <c r="N19" s="42" t="s">
        <v>27</v>
      </c>
      <c r="O19" s="42" t="s">
        <v>27</v>
      </c>
      <c r="P19" s="42" t="s">
        <v>27</v>
      </c>
      <c r="Q19" s="42" t="s">
        <v>27</v>
      </c>
      <c r="R19" s="42" t="s">
        <v>27</v>
      </c>
      <c r="S19" s="42" t="s">
        <v>27</v>
      </c>
      <c r="T19" s="44">
        <f t="shared" si="0"/>
        <v>431.236</v>
      </c>
      <c r="U19" s="87" t="s">
        <v>340</v>
      </c>
      <c r="V19" s="89" t="s">
        <v>347</v>
      </c>
    </row>
    <row r="20" spans="1:22" ht="84.75" customHeight="1">
      <c r="A20" s="93">
        <v>19</v>
      </c>
      <c r="B20" s="121" t="s">
        <v>189</v>
      </c>
      <c r="C20" s="121"/>
      <c r="D20" s="121"/>
      <c r="E20" s="121"/>
      <c r="F20" s="94" t="s">
        <v>343</v>
      </c>
      <c r="G20" s="94" t="s">
        <v>31</v>
      </c>
      <c r="H20" s="96">
        <v>49097.666</v>
      </c>
      <c r="I20" s="95"/>
      <c r="J20" s="96">
        <v>1215.546</v>
      </c>
      <c r="K20" s="97">
        <f>291.7614+145.8807+745.94774</f>
        <v>1183.5898399999999</v>
      </c>
      <c r="L20" s="97">
        <f>145.8807+145.8807+145.8807+745.94774</f>
        <v>1183.5898399999999</v>
      </c>
      <c r="M20" s="98" t="s">
        <v>27</v>
      </c>
      <c r="N20" s="98" t="s">
        <v>27</v>
      </c>
      <c r="O20" s="98" t="s">
        <v>27</v>
      </c>
      <c r="P20" s="98" t="s">
        <v>27</v>
      </c>
      <c r="Q20" s="98" t="s">
        <v>27</v>
      </c>
      <c r="R20" s="98" t="s">
        <v>27</v>
      </c>
      <c r="S20" s="98" t="s">
        <v>27</v>
      </c>
      <c r="T20" s="99">
        <f t="shared" si="0"/>
        <v>1183.5898399999999</v>
      </c>
      <c r="U20" s="102" t="s">
        <v>307</v>
      </c>
      <c r="V20" s="100" t="s">
        <v>347</v>
      </c>
    </row>
    <row r="21" spans="1:22" ht="85.5" customHeight="1">
      <c r="A21" s="92">
        <v>20</v>
      </c>
      <c r="B21" s="105" t="s">
        <v>21</v>
      </c>
      <c r="C21" s="105"/>
      <c r="D21" s="105"/>
      <c r="E21" s="105"/>
      <c r="F21" s="90" t="s">
        <v>343</v>
      </c>
      <c r="G21" s="90" t="s">
        <v>31</v>
      </c>
      <c r="H21" s="103">
        <v>1387.566</v>
      </c>
      <c r="I21" s="46"/>
      <c r="J21" s="91">
        <v>241.992</v>
      </c>
      <c r="K21" s="44">
        <v>133.15872</v>
      </c>
      <c r="L21" s="104">
        <f>79.89524+28.88748</f>
        <v>108.78272</v>
      </c>
      <c r="M21" s="42" t="s">
        <v>27</v>
      </c>
      <c r="N21" s="42" t="s">
        <v>27</v>
      </c>
      <c r="O21" s="42" t="s">
        <v>27</v>
      </c>
      <c r="P21" s="42" t="s">
        <v>27</v>
      </c>
      <c r="Q21" s="42" t="s">
        <v>27</v>
      </c>
      <c r="R21" s="42" t="s">
        <v>27</v>
      </c>
      <c r="S21" s="42" t="s">
        <v>27</v>
      </c>
      <c r="T21" s="44">
        <f t="shared" si="0"/>
        <v>108.78272</v>
      </c>
      <c r="U21" s="45" t="s">
        <v>341</v>
      </c>
      <c r="V21" s="89" t="s">
        <v>347</v>
      </c>
    </row>
    <row r="22" spans="1:20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10" ht="15.75">
      <c r="B36" s="9"/>
      <c r="C36" s="9"/>
      <c r="J36" s="9"/>
    </row>
    <row r="37" spans="2:3" ht="15.75">
      <c r="B37" s="9"/>
      <c r="C37" s="9"/>
    </row>
    <row r="38" spans="2:3" ht="15.75">
      <c r="B38" s="9"/>
      <c r="C38" s="9"/>
    </row>
    <row r="39" spans="2:3" ht="15.75">
      <c r="B39" s="9"/>
      <c r="C39" s="9"/>
    </row>
  </sheetData>
  <sheetProtection/>
  <mergeCells count="29">
    <mergeCell ref="B19:E19"/>
    <mergeCell ref="B20:E20"/>
    <mergeCell ref="B21:E21"/>
    <mergeCell ref="B12:E12"/>
    <mergeCell ref="B10:E10"/>
    <mergeCell ref="B17:E17"/>
    <mergeCell ref="B13:E13"/>
    <mergeCell ref="B16:E16"/>
    <mergeCell ref="B15:E15"/>
    <mergeCell ref="B18:E18"/>
    <mergeCell ref="B7:E7"/>
    <mergeCell ref="B11:E11"/>
    <mergeCell ref="B9:E9"/>
    <mergeCell ref="B8:E8"/>
    <mergeCell ref="A2:V2"/>
    <mergeCell ref="A5:A6"/>
    <mergeCell ref="B5:E6"/>
    <mergeCell ref="A3:V3"/>
    <mergeCell ref="A4:V4"/>
    <mergeCell ref="B14:E14"/>
    <mergeCell ref="U5:U6"/>
    <mergeCell ref="V5:V6"/>
    <mergeCell ref="J5:J6"/>
    <mergeCell ref="T5:T6"/>
    <mergeCell ref="I5:I6"/>
    <mergeCell ref="K5:S5"/>
    <mergeCell ref="G5:G6"/>
    <mergeCell ref="H5:H6"/>
    <mergeCell ref="F5:F6"/>
  </mergeCells>
  <printOptions/>
  <pageMargins left="0.25" right="0.25" top="0.75" bottom="0.75" header="0.3" footer="0.3"/>
  <pageSetup fitToHeight="999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AH214"/>
  <sheetViews>
    <sheetView zoomScale="60" zoomScaleNormal="60" zoomScaleSheetLayoutView="100" workbookViewId="0" topLeftCell="B1">
      <pane xSplit="7" ySplit="6" topLeftCell="X142" activePane="bottomRight" state="frozen"/>
      <selection pane="topLeft" activeCell="B1" sqref="B1"/>
      <selection pane="topRight" activeCell="H1" sqref="H1"/>
      <selection pane="bottomLeft" activeCell="B7" sqref="B7"/>
      <selection pane="bottomRight" activeCell="F144" sqref="F144"/>
    </sheetView>
  </sheetViews>
  <sheetFormatPr defaultColWidth="9.140625" defaultRowHeight="15"/>
  <cols>
    <col min="1" max="1" width="6.57421875" style="2" customWidth="1"/>
    <col min="2" max="4" width="9.140625" style="2" customWidth="1"/>
    <col min="5" max="5" width="22.140625" style="2" customWidth="1"/>
    <col min="6" max="6" width="22.140625" style="83" customWidth="1"/>
    <col min="7" max="7" width="25.28125" style="2" customWidth="1"/>
    <col min="8" max="8" width="16.7109375" style="2" hidden="1" customWidth="1"/>
    <col min="9" max="9" width="15.7109375" style="2" hidden="1" customWidth="1"/>
    <col min="10" max="10" width="14.140625" style="3" hidden="1" customWidth="1"/>
    <col min="11" max="11" width="15.140625" style="3" hidden="1" customWidth="1"/>
    <col min="12" max="12" width="14.140625" style="3" hidden="1" customWidth="1"/>
    <col min="13" max="14" width="14.00390625" style="3" hidden="1" customWidth="1"/>
    <col min="15" max="15" width="15.28125" style="3" hidden="1" customWidth="1"/>
    <col min="16" max="16" width="16.57421875" style="3" hidden="1" customWidth="1"/>
    <col min="17" max="17" width="17.28125" style="3" hidden="1" customWidth="1"/>
    <col min="18" max="18" width="14.8515625" style="3" hidden="1" customWidth="1"/>
    <col min="19" max="19" width="20.140625" style="3" hidden="1" customWidth="1"/>
    <col min="20" max="21" width="16.7109375" style="3" hidden="1" customWidth="1"/>
    <col min="22" max="23" width="14.421875" style="3" hidden="1" customWidth="1"/>
    <col min="24" max="24" width="14.7109375" style="3" customWidth="1"/>
    <col min="25" max="25" width="18.00390625" style="150" customWidth="1"/>
    <col min="26" max="26" width="22.421875" style="3" customWidth="1"/>
    <col min="27" max="16384" width="9.140625" style="2" customWidth="1"/>
  </cols>
  <sheetData>
    <row r="1" ht="15" customHeight="1"/>
    <row r="2" spans="1:34" ht="22.5" customHeight="1" hidden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4"/>
      <c r="AB2" s="4"/>
      <c r="AC2" s="4"/>
      <c r="AD2" s="4"/>
      <c r="AE2" s="4"/>
      <c r="AF2" s="4"/>
      <c r="AG2" s="4"/>
      <c r="AH2" s="23"/>
    </row>
    <row r="3" spans="1:33" ht="42" customHeight="1">
      <c r="A3" s="132" t="s">
        <v>2</v>
      </c>
      <c r="B3" s="135" t="s">
        <v>0</v>
      </c>
      <c r="C3" s="135"/>
      <c r="D3" s="135"/>
      <c r="E3" s="135"/>
      <c r="F3" s="132" t="s">
        <v>266</v>
      </c>
      <c r="G3" s="132" t="s">
        <v>10</v>
      </c>
      <c r="H3" s="132" t="s">
        <v>6</v>
      </c>
      <c r="I3" s="136" t="s">
        <v>164</v>
      </c>
      <c r="J3" s="122" t="s">
        <v>3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137" t="s">
        <v>11</v>
      </c>
      <c r="Y3" s="138" t="s">
        <v>264</v>
      </c>
      <c r="Z3" s="147" t="s">
        <v>265</v>
      </c>
      <c r="AA3" s="4"/>
      <c r="AB3" s="4"/>
      <c r="AC3" s="4"/>
      <c r="AD3" s="4"/>
      <c r="AE3" s="4"/>
      <c r="AF3" s="4"/>
      <c r="AG3" s="4"/>
    </row>
    <row r="4" spans="1:33" ht="42" customHeight="1">
      <c r="A4" s="133"/>
      <c r="B4" s="135"/>
      <c r="C4" s="135"/>
      <c r="D4" s="135"/>
      <c r="E4" s="135"/>
      <c r="F4" s="133"/>
      <c r="G4" s="133"/>
      <c r="H4" s="133"/>
      <c r="I4" s="136"/>
      <c r="J4" s="143" t="s">
        <v>4</v>
      </c>
      <c r="K4" s="144"/>
      <c r="L4" s="144"/>
      <c r="M4" s="144"/>
      <c r="N4" s="145"/>
      <c r="O4" s="122" t="s">
        <v>5</v>
      </c>
      <c r="P4" s="123"/>
      <c r="Q4" s="123"/>
      <c r="R4" s="123"/>
      <c r="S4" s="124"/>
      <c r="T4" s="122" t="s">
        <v>9</v>
      </c>
      <c r="U4" s="124"/>
      <c r="V4" s="122" t="s">
        <v>8</v>
      </c>
      <c r="W4" s="124"/>
      <c r="X4" s="137"/>
      <c r="Y4" s="138"/>
      <c r="Z4" s="148"/>
      <c r="AA4" s="4"/>
      <c r="AB4" s="4"/>
      <c r="AC4" s="4"/>
      <c r="AD4" s="4"/>
      <c r="AE4" s="4"/>
      <c r="AF4" s="4"/>
      <c r="AG4" s="4"/>
    </row>
    <row r="5" spans="1:33" ht="6" customHeight="1">
      <c r="A5" s="134"/>
      <c r="B5" s="135"/>
      <c r="C5" s="135"/>
      <c r="D5" s="135"/>
      <c r="E5" s="135"/>
      <c r="F5" s="134"/>
      <c r="G5" s="134"/>
      <c r="H5" s="134"/>
      <c r="I5" s="136"/>
      <c r="J5" s="27" t="s">
        <v>157</v>
      </c>
      <c r="K5" s="27" t="s">
        <v>158</v>
      </c>
      <c r="L5" s="27" t="s">
        <v>33</v>
      </c>
      <c r="M5" s="27" t="s">
        <v>159</v>
      </c>
      <c r="N5" s="27" t="s">
        <v>170</v>
      </c>
      <c r="O5" s="25" t="s">
        <v>157</v>
      </c>
      <c r="P5" s="25" t="s">
        <v>158</v>
      </c>
      <c r="Q5" s="25" t="s">
        <v>33</v>
      </c>
      <c r="R5" s="25" t="s">
        <v>159</v>
      </c>
      <c r="S5" s="27" t="s">
        <v>170</v>
      </c>
      <c r="T5" s="27" t="s">
        <v>157</v>
      </c>
      <c r="U5" s="27" t="s">
        <v>170</v>
      </c>
      <c r="V5" s="27" t="s">
        <v>157</v>
      </c>
      <c r="W5" s="27" t="s">
        <v>170</v>
      </c>
      <c r="X5" s="137"/>
      <c r="Y5" s="138"/>
      <c r="Z5" s="149"/>
      <c r="AA5" s="4"/>
      <c r="AB5" s="4"/>
      <c r="AC5" s="4"/>
      <c r="AD5" s="4"/>
      <c r="AE5" s="4"/>
      <c r="AF5" s="4"/>
      <c r="AG5" s="4"/>
    </row>
    <row r="6" spans="1:33" ht="15.75" customHeight="1">
      <c r="A6" s="6">
        <v>1</v>
      </c>
      <c r="B6" s="140">
        <v>2</v>
      </c>
      <c r="C6" s="141"/>
      <c r="D6" s="141"/>
      <c r="E6" s="142"/>
      <c r="F6" s="76"/>
      <c r="G6" s="5">
        <v>3</v>
      </c>
      <c r="H6" s="5">
        <v>4</v>
      </c>
      <c r="I6" s="7">
        <v>5</v>
      </c>
      <c r="J6" s="5">
        <v>6</v>
      </c>
      <c r="K6" s="5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61">
        <v>14</v>
      </c>
      <c r="S6" s="61">
        <v>15</v>
      </c>
      <c r="T6" s="61">
        <v>16</v>
      </c>
      <c r="U6" s="61">
        <v>17</v>
      </c>
      <c r="V6" s="61">
        <v>18</v>
      </c>
      <c r="W6" s="61">
        <v>19</v>
      </c>
      <c r="X6" s="61">
        <v>20</v>
      </c>
      <c r="Y6" s="101">
        <v>21</v>
      </c>
      <c r="Z6" s="61">
        <v>22</v>
      </c>
      <c r="AA6" s="4"/>
      <c r="AB6" s="4"/>
      <c r="AC6" s="4"/>
      <c r="AD6" s="4"/>
      <c r="AE6" s="4"/>
      <c r="AF6" s="4"/>
      <c r="AG6" s="4"/>
    </row>
    <row r="7" spans="1:34" ht="83.25" customHeight="1">
      <c r="A7" s="5">
        <v>1</v>
      </c>
      <c r="B7" s="127" t="s">
        <v>34</v>
      </c>
      <c r="C7" s="128"/>
      <c r="D7" s="128"/>
      <c r="E7" s="129"/>
      <c r="F7" s="77" t="s">
        <v>275</v>
      </c>
      <c r="G7" s="17" t="s">
        <v>267</v>
      </c>
      <c r="H7" s="14">
        <v>241.085</v>
      </c>
      <c r="I7" s="14">
        <f>241.085-17.444</f>
        <v>223.64100000000002</v>
      </c>
      <c r="J7" s="1">
        <v>9.524</v>
      </c>
      <c r="K7" s="1">
        <v>3.1164</v>
      </c>
      <c r="L7" s="19">
        <v>43265</v>
      </c>
      <c r="M7" s="19">
        <v>43264</v>
      </c>
      <c r="N7" s="16">
        <v>9.524</v>
      </c>
      <c r="O7" s="16">
        <f>221.0802-20.92452</f>
        <v>200.15568</v>
      </c>
      <c r="P7" s="16">
        <v>66.32406</v>
      </c>
      <c r="Q7" s="19">
        <v>43346</v>
      </c>
      <c r="R7" s="19">
        <v>43346</v>
      </c>
      <c r="S7" s="16">
        <f>66.32406+102.85508+40.80694-9.8304</f>
        <v>200.15568000000002</v>
      </c>
      <c r="T7" s="16">
        <f>3.5448-0.13491</f>
        <v>3.40989</v>
      </c>
      <c r="U7" s="16">
        <f>2.76262+0.64727</f>
        <v>3.40989</v>
      </c>
      <c r="V7" s="16">
        <v>0.72</v>
      </c>
      <c r="W7" s="16">
        <v>0.72</v>
      </c>
      <c r="X7" s="21">
        <f aca="true" t="shared" si="0" ref="X7:X38">W7+U7+S7+N7</f>
        <v>213.80957</v>
      </c>
      <c r="Y7" s="86" t="s">
        <v>303</v>
      </c>
      <c r="Z7" s="88" t="s">
        <v>347</v>
      </c>
      <c r="AH7" s="4"/>
    </row>
    <row r="8" spans="1:34" ht="83.25" customHeight="1">
      <c r="A8" s="5">
        <v>2</v>
      </c>
      <c r="B8" s="127" t="s">
        <v>35</v>
      </c>
      <c r="C8" s="128"/>
      <c r="D8" s="128"/>
      <c r="E8" s="129"/>
      <c r="F8" s="77" t="s">
        <v>275</v>
      </c>
      <c r="G8" s="47" t="s">
        <v>268</v>
      </c>
      <c r="H8" s="14">
        <v>468.764</v>
      </c>
      <c r="I8" s="14">
        <v>468.764</v>
      </c>
      <c r="J8" s="1">
        <f>20.1352-1.4702</f>
        <v>18.665000000000003</v>
      </c>
      <c r="K8" s="16">
        <v>6.04056</v>
      </c>
      <c r="L8" s="19">
        <v>43316</v>
      </c>
      <c r="M8" s="19">
        <v>43314</v>
      </c>
      <c r="N8" s="16">
        <f>6.04056+12.62444</f>
        <v>18.665</v>
      </c>
      <c r="O8" s="16">
        <v>283.717</v>
      </c>
      <c r="P8" s="16">
        <v>283.717</v>
      </c>
      <c r="Q8" s="19">
        <v>43454</v>
      </c>
      <c r="R8" s="19">
        <v>43454</v>
      </c>
      <c r="S8" s="16">
        <v>283.717</v>
      </c>
      <c r="T8" s="49">
        <v>6.489</v>
      </c>
      <c r="U8" s="16">
        <v>4.65197</v>
      </c>
      <c r="V8" s="16">
        <v>0.9919</v>
      </c>
      <c r="W8" s="16">
        <v>0.9919</v>
      </c>
      <c r="X8" s="21">
        <f t="shared" si="0"/>
        <v>308.02587</v>
      </c>
      <c r="Y8" s="86" t="s">
        <v>303</v>
      </c>
      <c r="Z8" s="88" t="s">
        <v>347</v>
      </c>
      <c r="AH8" s="4"/>
    </row>
    <row r="9" spans="1:34" ht="83.25" customHeight="1">
      <c r="A9" s="5">
        <v>3</v>
      </c>
      <c r="B9" s="126" t="s">
        <v>36</v>
      </c>
      <c r="C9" s="126"/>
      <c r="D9" s="126"/>
      <c r="E9" s="126"/>
      <c r="F9" s="77" t="s">
        <v>275</v>
      </c>
      <c r="G9" s="55" t="s">
        <v>268</v>
      </c>
      <c r="H9" s="14">
        <v>484.031</v>
      </c>
      <c r="I9" s="14">
        <v>484.031</v>
      </c>
      <c r="J9" s="1">
        <f>20.771-1.764</f>
        <v>19.007</v>
      </c>
      <c r="K9" s="16">
        <v>6.2313</v>
      </c>
      <c r="L9" s="19">
        <v>43258</v>
      </c>
      <c r="M9" s="19">
        <v>43255</v>
      </c>
      <c r="N9" s="16">
        <f>6.2313+12.7757</f>
        <v>19.007</v>
      </c>
      <c r="O9" s="16">
        <v>289.51496</v>
      </c>
      <c r="P9" s="16">
        <v>289.51496</v>
      </c>
      <c r="Q9" s="19">
        <v>43454</v>
      </c>
      <c r="R9" s="19">
        <v>43454</v>
      </c>
      <c r="S9" s="16">
        <v>289.51496</v>
      </c>
      <c r="T9" s="49">
        <v>6.61605</v>
      </c>
      <c r="U9" s="16">
        <v>4.70471</v>
      </c>
      <c r="V9" s="16">
        <v>0.9254</v>
      </c>
      <c r="W9" s="16">
        <v>0.9254</v>
      </c>
      <c r="X9" s="21">
        <f t="shared" si="0"/>
        <v>314.15207</v>
      </c>
      <c r="Y9" s="86" t="s">
        <v>303</v>
      </c>
      <c r="Z9" s="88" t="s">
        <v>347</v>
      </c>
      <c r="AH9" s="4"/>
    </row>
    <row r="10" spans="1:34" ht="83.25" customHeight="1">
      <c r="A10" s="5">
        <v>4</v>
      </c>
      <c r="B10" s="126" t="s">
        <v>37</v>
      </c>
      <c r="C10" s="126" t="s">
        <v>38</v>
      </c>
      <c r="D10" s="126" t="s">
        <v>38</v>
      </c>
      <c r="E10" s="126" t="s">
        <v>38</v>
      </c>
      <c r="F10" s="77" t="s">
        <v>275</v>
      </c>
      <c r="G10" s="55" t="s">
        <v>268</v>
      </c>
      <c r="H10" s="14">
        <v>492.346</v>
      </c>
      <c r="I10" s="14">
        <v>492.346</v>
      </c>
      <c r="J10" s="1">
        <f>21.126-1.971</f>
        <v>19.155</v>
      </c>
      <c r="K10" s="16">
        <v>6.3378</v>
      </c>
      <c r="L10" s="19">
        <v>43258</v>
      </c>
      <c r="M10" s="19">
        <v>43255</v>
      </c>
      <c r="N10" s="16">
        <f>6.3378+12.8172</f>
        <v>19.155</v>
      </c>
      <c r="O10" s="16">
        <v>291.82258</v>
      </c>
      <c r="P10" s="16">
        <v>291.82258</v>
      </c>
      <c r="Q10" s="19">
        <v>43454</v>
      </c>
      <c r="R10" s="19">
        <v>43452</v>
      </c>
      <c r="S10" s="16">
        <v>291.82258</v>
      </c>
      <c r="T10" s="49">
        <v>6.67065</v>
      </c>
      <c r="U10" s="16">
        <v>4.73939</v>
      </c>
      <c r="V10" s="16">
        <v>1.0577</v>
      </c>
      <c r="W10" s="16">
        <v>1.0577</v>
      </c>
      <c r="X10" s="21">
        <f t="shared" si="0"/>
        <v>316.77467</v>
      </c>
      <c r="Y10" s="86" t="s">
        <v>303</v>
      </c>
      <c r="Z10" s="88" t="s">
        <v>347</v>
      </c>
      <c r="AH10" s="4"/>
    </row>
    <row r="11" spans="1:34" ht="83.25" customHeight="1">
      <c r="A11" s="5">
        <v>5</v>
      </c>
      <c r="B11" s="126" t="s">
        <v>39</v>
      </c>
      <c r="C11" s="126" t="s">
        <v>40</v>
      </c>
      <c r="D11" s="126" t="s">
        <v>40</v>
      </c>
      <c r="E11" s="126" t="s">
        <v>40</v>
      </c>
      <c r="F11" s="77" t="s">
        <v>275</v>
      </c>
      <c r="G11" s="41" t="s">
        <v>269</v>
      </c>
      <c r="H11" s="14">
        <v>242.038</v>
      </c>
      <c r="I11" s="14">
        <v>208.431</v>
      </c>
      <c r="J11" s="1">
        <v>9.559</v>
      </c>
      <c r="K11" s="1">
        <v>3.12798</v>
      </c>
      <c r="L11" s="19">
        <v>43265</v>
      </c>
      <c r="M11" s="19">
        <v>43264</v>
      </c>
      <c r="N11" s="16">
        <v>9.559</v>
      </c>
      <c r="O11" s="16">
        <f>221.9262-20.48856</f>
        <v>201.43764</v>
      </c>
      <c r="P11" s="16">
        <v>66.57786</v>
      </c>
      <c r="Q11" s="19">
        <v>43346</v>
      </c>
      <c r="R11" s="19">
        <v>43346</v>
      </c>
      <c r="S11" s="16">
        <f>66.57786+128.37121+6.48857</f>
        <v>201.43764000000002</v>
      </c>
      <c r="T11" s="16">
        <f>3.5574-0.28993</f>
        <v>3.26747</v>
      </c>
      <c r="U11" s="16">
        <f>3.16528+0.10219</f>
        <v>3.2674700000000003</v>
      </c>
      <c r="V11" s="16">
        <v>0.756</v>
      </c>
      <c r="W11" s="16">
        <v>0.756</v>
      </c>
      <c r="X11" s="21">
        <f t="shared" si="0"/>
        <v>215.02011000000002</v>
      </c>
      <c r="Y11" s="86" t="s">
        <v>303</v>
      </c>
      <c r="Z11" s="88" t="s">
        <v>347</v>
      </c>
      <c r="AH11" s="4"/>
    </row>
    <row r="12" spans="1:34" ht="83.25" customHeight="1">
      <c r="A12" s="5">
        <v>6</v>
      </c>
      <c r="B12" s="126" t="s">
        <v>41</v>
      </c>
      <c r="C12" s="126" t="s">
        <v>42</v>
      </c>
      <c r="D12" s="126" t="s">
        <v>42</v>
      </c>
      <c r="E12" s="126" t="s">
        <v>42</v>
      </c>
      <c r="F12" s="77" t="s">
        <v>275</v>
      </c>
      <c r="G12" s="17" t="s">
        <v>270</v>
      </c>
      <c r="H12" s="14">
        <v>248.846</v>
      </c>
      <c r="I12" s="14">
        <v>211.082</v>
      </c>
      <c r="J12" s="1">
        <v>9.87</v>
      </c>
      <c r="K12" s="16">
        <v>2.961</v>
      </c>
      <c r="L12" s="19">
        <v>43266</v>
      </c>
      <c r="M12" s="19">
        <v>43266</v>
      </c>
      <c r="N12" s="16">
        <v>9.87</v>
      </c>
      <c r="O12" s="16">
        <f>229.082-31.82685</f>
        <v>197.25515</v>
      </c>
      <c r="P12" s="16">
        <v>68.7246</v>
      </c>
      <c r="Q12" s="19">
        <v>43315</v>
      </c>
      <c r="R12" s="19">
        <v>43315</v>
      </c>
      <c r="S12" s="16">
        <f>68.7246+128.53055</f>
        <v>197.25515000000001</v>
      </c>
      <c r="T12" s="16">
        <f>3.6729-0.4733</f>
        <v>3.1995999999999998</v>
      </c>
      <c r="U12" s="16">
        <v>3.1996</v>
      </c>
      <c r="V12" s="16">
        <v>0.756</v>
      </c>
      <c r="W12" s="16">
        <v>0.756</v>
      </c>
      <c r="X12" s="21">
        <f t="shared" si="0"/>
        <v>211.08075000000002</v>
      </c>
      <c r="Y12" s="86" t="s">
        <v>303</v>
      </c>
      <c r="Z12" s="88" t="s">
        <v>347</v>
      </c>
      <c r="AH12" s="4"/>
    </row>
    <row r="13" spans="1:34" ht="83.25" customHeight="1">
      <c r="A13" s="5">
        <v>7</v>
      </c>
      <c r="B13" s="126" t="s">
        <v>43</v>
      </c>
      <c r="C13" s="126" t="s">
        <v>44</v>
      </c>
      <c r="D13" s="126" t="s">
        <v>44</v>
      </c>
      <c r="E13" s="126" t="s">
        <v>44</v>
      </c>
      <c r="F13" s="77" t="s">
        <v>275</v>
      </c>
      <c r="G13" s="17" t="s">
        <v>271</v>
      </c>
      <c r="H13" s="14">
        <v>241.129</v>
      </c>
      <c r="I13" s="14">
        <v>207.899</v>
      </c>
      <c r="J13" s="1">
        <v>9.524</v>
      </c>
      <c r="K13" s="1">
        <v>3.12936</v>
      </c>
      <c r="L13" s="19">
        <v>43265</v>
      </c>
      <c r="M13" s="19">
        <v>43264</v>
      </c>
      <c r="N13" s="16">
        <v>9.524</v>
      </c>
      <c r="O13" s="16">
        <f>221.087-21.41563</f>
        <v>199.67137</v>
      </c>
      <c r="P13" s="16">
        <v>66.3261</v>
      </c>
      <c r="Q13" s="19">
        <v>43346</v>
      </c>
      <c r="R13" s="19">
        <v>43346</v>
      </c>
      <c r="S13" s="16">
        <f>66.3261+128.13389+5.21138</f>
        <v>199.67137</v>
      </c>
      <c r="T13" s="16">
        <f>3.5448-0.30494</f>
        <v>3.23986</v>
      </c>
      <c r="U13" s="16">
        <f>3.15784+0.08202</f>
        <v>3.23986</v>
      </c>
      <c r="V13" s="16">
        <v>0.756</v>
      </c>
      <c r="W13" s="16">
        <v>0.756</v>
      </c>
      <c r="X13" s="21">
        <f t="shared" si="0"/>
        <v>213.19123</v>
      </c>
      <c r="Y13" s="86" t="s">
        <v>303</v>
      </c>
      <c r="Z13" s="88" t="s">
        <v>347</v>
      </c>
      <c r="AH13" s="4"/>
    </row>
    <row r="14" spans="1:34" ht="83.25" customHeight="1">
      <c r="A14" s="5">
        <v>8</v>
      </c>
      <c r="B14" s="139" t="s">
        <v>45</v>
      </c>
      <c r="C14" s="139" t="s">
        <v>46</v>
      </c>
      <c r="D14" s="139" t="s">
        <v>46</v>
      </c>
      <c r="E14" s="139" t="s">
        <v>46</v>
      </c>
      <c r="F14" s="77" t="s">
        <v>275</v>
      </c>
      <c r="G14" s="17" t="s">
        <v>272</v>
      </c>
      <c r="H14" s="14">
        <v>729.467</v>
      </c>
      <c r="I14" s="14">
        <v>729.467</v>
      </c>
      <c r="J14" s="1">
        <v>31.2082</v>
      </c>
      <c r="K14" s="16">
        <v>9.36246</v>
      </c>
      <c r="L14" s="19">
        <v>43265</v>
      </c>
      <c r="M14" s="19">
        <v>43263</v>
      </c>
      <c r="N14" s="16">
        <v>31.2082</v>
      </c>
      <c r="O14" s="16">
        <f>612.5364-19.10313</f>
        <v>593.43327</v>
      </c>
      <c r="P14" s="16">
        <v>183.76092</v>
      </c>
      <c r="Q14" s="19">
        <v>43416</v>
      </c>
      <c r="R14" s="19">
        <v>43416</v>
      </c>
      <c r="S14" s="16">
        <f>183.76092+212.3319+84.91489+112.42556</f>
        <v>593.43327</v>
      </c>
      <c r="T14" s="16">
        <v>9.9204</v>
      </c>
      <c r="U14" s="16">
        <f>6.46257+1.38875</f>
        <v>7.85132</v>
      </c>
      <c r="V14" s="16">
        <v>2.172</v>
      </c>
      <c r="W14" s="16">
        <v>2.172</v>
      </c>
      <c r="X14" s="21">
        <f t="shared" si="0"/>
        <v>634.66479</v>
      </c>
      <c r="Y14" s="86" t="s">
        <v>303</v>
      </c>
      <c r="Z14" s="88" t="s">
        <v>347</v>
      </c>
      <c r="AH14" s="4"/>
    </row>
    <row r="15" spans="1:34" ht="68.25" customHeight="1">
      <c r="A15" s="5">
        <v>9</v>
      </c>
      <c r="B15" s="126" t="s">
        <v>47</v>
      </c>
      <c r="C15" s="126" t="s">
        <v>48</v>
      </c>
      <c r="D15" s="126" t="s">
        <v>48</v>
      </c>
      <c r="E15" s="126" t="s">
        <v>48</v>
      </c>
      <c r="F15" s="77" t="s">
        <v>275</v>
      </c>
      <c r="G15" s="8" t="s">
        <v>276</v>
      </c>
      <c r="H15" s="14">
        <v>492.374</v>
      </c>
      <c r="I15" s="14">
        <v>492.374</v>
      </c>
      <c r="J15" s="1">
        <f>21.127-2.19</f>
        <v>18.936999999999998</v>
      </c>
      <c r="K15" s="16">
        <v>6.3381</v>
      </c>
      <c r="L15" s="19">
        <v>43258</v>
      </c>
      <c r="M15" s="19">
        <v>43255</v>
      </c>
      <c r="N15" s="16">
        <f>6.3381+12.5989</f>
        <v>18.937</v>
      </c>
      <c r="O15" s="16">
        <f>391.33806-34.77067</f>
        <v>356.56739</v>
      </c>
      <c r="P15" s="49">
        <v>117.40141</v>
      </c>
      <c r="Q15" s="58">
        <v>43451</v>
      </c>
      <c r="R15" s="19">
        <v>43448</v>
      </c>
      <c r="S15" s="16">
        <f>117.40141+166.55001+72.61597</f>
        <v>356.56739</v>
      </c>
      <c r="T15" s="16">
        <v>6.5898</v>
      </c>
      <c r="U15" s="16">
        <f>4.60421+1.10989</f>
        <v>5.7141</v>
      </c>
      <c r="V15" s="16">
        <v>1.511</v>
      </c>
      <c r="W15" s="16">
        <v>1.511</v>
      </c>
      <c r="X15" s="21">
        <f t="shared" si="0"/>
        <v>382.72949</v>
      </c>
      <c r="Y15" s="86" t="s">
        <v>304</v>
      </c>
      <c r="Z15" s="88" t="s">
        <v>347</v>
      </c>
      <c r="AH15" s="4"/>
    </row>
    <row r="16" spans="1:34" ht="64.5" customHeight="1">
      <c r="A16" s="5">
        <v>10</v>
      </c>
      <c r="B16" s="126" t="s">
        <v>49</v>
      </c>
      <c r="C16" s="126" t="s">
        <v>50</v>
      </c>
      <c r="D16" s="126" t="s">
        <v>50</v>
      </c>
      <c r="E16" s="126" t="s">
        <v>50</v>
      </c>
      <c r="F16" s="77" t="s">
        <v>275</v>
      </c>
      <c r="G16" s="47" t="s">
        <v>276</v>
      </c>
      <c r="H16" s="14">
        <v>492.374</v>
      </c>
      <c r="I16" s="14">
        <v>492.374</v>
      </c>
      <c r="J16" s="1">
        <f>21.127-2.19</f>
        <v>18.936999999999998</v>
      </c>
      <c r="K16" s="16">
        <v>6.3381</v>
      </c>
      <c r="L16" s="19">
        <v>43258</v>
      </c>
      <c r="M16" s="19">
        <v>43255</v>
      </c>
      <c r="N16" s="16">
        <f>6.3381+12.5989</f>
        <v>18.937</v>
      </c>
      <c r="O16" s="16">
        <v>436.1758</v>
      </c>
      <c r="P16" s="49">
        <v>117.40141</v>
      </c>
      <c r="Q16" s="58">
        <v>43451</v>
      </c>
      <c r="R16" s="19">
        <v>43438</v>
      </c>
      <c r="S16" s="16">
        <f>117.40141+163.55891+73.17532</f>
        <v>354.13564</v>
      </c>
      <c r="T16" s="16">
        <v>6.5898</v>
      </c>
      <c r="U16" s="16">
        <f>4.55538+1.11837</f>
        <v>5.67375</v>
      </c>
      <c r="V16" s="16">
        <v>1.511</v>
      </c>
      <c r="W16" s="16">
        <v>1.511</v>
      </c>
      <c r="X16" s="21">
        <f t="shared" si="0"/>
        <v>380.25739000000004</v>
      </c>
      <c r="Y16" s="86" t="s">
        <v>304</v>
      </c>
      <c r="Z16" s="88" t="s">
        <v>347</v>
      </c>
      <c r="AH16" s="4"/>
    </row>
    <row r="17" spans="1:34" ht="83.25" customHeight="1">
      <c r="A17" s="79">
        <v>11</v>
      </c>
      <c r="B17" s="139" t="s">
        <v>51</v>
      </c>
      <c r="C17" s="139" t="s">
        <v>52</v>
      </c>
      <c r="D17" s="139" t="s">
        <v>52</v>
      </c>
      <c r="E17" s="139" t="s">
        <v>52</v>
      </c>
      <c r="F17" s="77" t="s">
        <v>275</v>
      </c>
      <c r="G17" s="78" t="s">
        <v>277</v>
      </c>
      <c r="H17" s="15">
        <v>297.616</v>
      </c>
      <c r="I17" s="15">
        <v>257.839</v>
      </c>
      <c r="J17" s="1">
        <f>13.348-1.593</f>
        <v>11.755</v>
      </c>
      <c r="K17" s="16">
        <v>4.0044</v>
      </c>
      <c r="L17" s="19">
        <v>43258</v>
      </c>
      <c r="M17" s="19">
        <v>43255</v>
      </c>
      <c r="N17" s="16">
        <v>11.755</v>
      </c>
      <c r="O17" s="16">
        <f>272.8306-31.63876</f>
        <v>241.19184</v>
      </c>
      <c r="P17" s="16">
        <v>81.84918</v>
      </c>
      <c r="Q17" s="19">
        <v>43346</v>
      </c>
      <c r="R17" s="19">
        <v>43346</v>
      </c>
      <c r="S17" s="16">
        <f>81.84918+157.32548+2.01718</f>
        <v>241.19184</v>
      </c>
      <c r="T17" s="16">
        <f>4.37535-0.46466</f>
        <v>3.91069</v>
      </c>
      <c r="U17" s="16">
        <f>3.87664+0.03405</f>
        <v>3.91069</v>
      </c>
      <c r="V17" s="16">
        <v>0.98</v>
      </c>
      <c r="W17" s="16">
        <v>0.98</v>
      </c>
      <c r="X17" s="21">
        <f t="shared" si="0"/>
        <v>257.83753</v>
      </c>
      <c r="Y17" s="86" t="s">
        <v>304</v>
      </c>
      <c r="Z17" s="88" t="s">
        <v>347</v>
      </c>
      <c r="AH17" s="4"/>
    </row>
    <row r="18" spans="1:34" ht="83.25" customHeight="1">
      <c r="A18" s="79">
        <v>12</v>
      </c>
      <c r="B18" s="139" t="s">
        <v>53</v>
      </c>
      <c r="C18" s="139" t="s">
        <v>54</v>
      </c>
      <c r="D18" s="139" t="s">
        <v>54</v>
      </c>
      <c r="E18" s="139" t="s">
        <v>54</v>
      </c>
      <c r="F18" s="77" t="s">
        <v>275</v>
      </c>
      <c r="G18" s="78" t="s">
        <v>278</v>
      </c>
      <c r="H18" s="15">
        <v>153.841</v>
      </c>
      <c r="I18" s="15">
        <v>115.722</v>
      </c>
      <c r="J18" s="1">
        <v>6.078</v>
      </c>
      <c r="K18" s="16">
        <v>1.989</v>
      </c>
      <c r="L18" s="19">
        <v>43265</v>
      </c>
      <c r="M18" s="19">
        <v>43263</v>
      </c>
      <c r="N18" s="16">
        <v>6.078</v>
      </c>
      <c r="O18" s="16">
        <f>141.0618-0.38844</f>
        <v>140.67336</v>
      </c>
      <c r="P18" s="16">
        <v>42.31854</v>
      </c>
      <c r="Q18" s="19">
        <v>43346</v>
      </c>
      <c r="R18" s="19">
        <v>43346</v>
      </c>
      <c r="S18" s="16">
        <f>42.31854+65.09765+33.25717</f>
        <v>140.67336</v>
      </c>
      <c r="T18" s="16">
        <v>2.2617</v>
      </c>
      <c r="U18" s="16">
        <v>1.75394</v>
      </c>
      <c r="V18" s="16">
        <v>0.472</v>
      </c>
      <c r="W18" s="16">
        <v>0.472</v>
      </c>
      <c r="X18" s="21">
        <f t="shared" si="0"/>
        <v>148.9773</v>
      </c>
      <c r="Y18" s="86" t="s">
        <v>305</v>
      </c>
      <c r="Z18" s="88" t="s">
        <v>347</v>
      </c>
      <c r="AH18" s="4"/>
    </row>
    <row r="19" spans="1:34" ht="83.25" customHeight="1">
      <c r="A19" s="5">
        <v>13</v>
      </c>
      <c r="B19" s="126" t="s">
        <v>55</v>
      </c>
      <c r="C19" s="126" t="s">
        <v>56</v>
      </c>
      <c r="D19" s="126" t="s">
        <v>56</v>
      </c>
      <c r="E19" s="126" t="s">
        <v>56</v>
      </c>
      <c r="F19" s="77" t="s">
        <v>275</v>
      </c>
      <c r="G19" s="18" t="s">
        <v>279</v>
      </c>
      <c r="H19" s="14">
        <v>201.719</v>
      </c>
      <c r="I19" s="14">
        <v>177.929</v>
      </c>
      <c r="J19" s="1">
        <v>7.952</v>
      </c>
      <c r="K19" s="16">
        <v>2.3856</v>
      </c>
      <c r="L19" s="19">
        <v>43273</v>
      </c>
      <c r="M19" s="19">
        <v>43264</v>
      </c>
      <c r="N19" s="16">
        <v>7.952</v>
      </c>
      <c r="O19" s="16">
        <f>185.0156-18.30693</f>
        <v>166.70867</v>
      </c>
      <c r="P19" s="16">
        <v>55.50468</v>
      </c>
      <c r="Q19" s="19">
        <v>43315</v>
      </c>
      <c r="R19" s="19">
        <v>43315</v>
      </c>
      <c r="S19" s="16">
        <f>55.50468+64.95947+46.24452</f>
        <v>166.70866999999998</v>
      </c>
      <c r="T19" s="16">
        <f>2.95995-0.26779</f>
        <v>2.6921600000000003</v>
      </c>
      <c r="U19" s="16">
        <f>1.9646+0.72756</f>
        <v>2.69216</v>
      </c>
      <c r="V19" s="16">
        <v>0.575</v>
      </c>
      <c r="W19" s="16">
        <v>0.575</v>
      </c>
      <c r="X19" s="21">
        <f t="shared" si="0"/>
        <v>177.92782999999997</v>
      </c>
      <c r="Y19" s="86" t="s">
        <v>306</v>
      </c>
      <c r="Z19" s="88" t="s">
        <v>347</v>
      </c>
      <c r="AH19" s="4"/>
    </row>
    <row r="20" spans="1:34" ht="83.25" customHeight="1">
      <c r="A20" s="5">
        <v>14</v>
      </c>
      <c r="B20" s="126" t="s">
        <v>57</v>
      </c>
      <c r="C20" s="126" t="s">
        <v>58</v>
      </c>
      <c r="D20" s="126" t="s">
        <v>58</v>
      </c>
      <c r="E20" s="126" t="s">
        <v>58</v>
      </c>
      <c r="F20" s="77" t="s">
        <v>275</v>
      </c>
      <c r="G20" s="28" t="s">
        <v>280</v>
      </c>
      <c r="H20" s="14">
        <v>216.32</v>
      </c>
      <c r="I20" s="14">
        <v>216.32</v>
      </c>
      <c r="J20" s="1">
        <v>8.527</v>
      </c>
      <c r="K20" s="16">
        <v>2.5581</v>
      </c>
      <c r="L20" s="19">
        <v>43343</v>
      </c>
      <c r="M20" s="19">
        <v>43319</v>
      </c>
      <c r="N20" s="16">
        <f>2.5581+5.9689</f>
        <v>8.527</v>
      </c>
      <c r="O20" s="48">
        <v>138.88588</v>
      </c>
      <c r="P20" s="48">
        <v>138.88588</v>
      </c>
      <c r="Q20" s="19">
        <v>43454</v>
      </c>
      <c r="R20" s="19">
        <v>43452</v>
      </c>
      <c r="S20" s="48">
        <v>138.88588</v>
      </c>
      <c r="T20" s="49">
        <v>2.27623</v>
      </c>
      <c r="U20" s="16">
        <v>2.27623</v>
      </c>
      <c r="V20" s="16">
        <v>0.4515</v>
      </c>
      <c r="W20" s="16">
        <v>0.4515</v>
      </c>
      <c r="X20" s="21">
        <f t="shared" si="0"/>
        <v>150.14060999999998</v>
      </c>
      <c r="Y20" s="86" t="s">
        <v>307</v>
      </c>
      <c r="Z20" s="88" t="s">
        <v>347</v>
      </c>
      <c r="AH20" s="4"/>
    </row>
    <row r="21" spans="1:34" ht="83.25" customHeight="1">
      <c r="A21" s="5">
        <v>15</v>
      </c>
      <c r="B21" s="127" t="s">
        <v>59</v>
      </c>
      <c r="C21" s="128" t="s">
        <v>60</v>
      </c>
      <c r="D21" s="128" t="s">
        <v>60</v>
      </c>
      <c r="E21" s="129" t="s">
        <v>60</v>
      </c>
      <c r="F21" s="77" t="s">
        <v>275</v>
      </c>
      <c r="G21" s="28" t="s">
        <v>272</v>
      </c>
      <c r="H21" s="14">
        <v>575.483</v>
      </c>
      <c r="I21" s="14">
        <v>575.483</v>
      </c>
      <c r="J21" s="1">
        <v>25.602</v>
      </c>
      <c r="K21" s="16">
        <v>7.6806</v>
      </c>
      <c r="L21" s="19">
        <v>43265</v>
      </c>
      <c r="M21" s="19">
        <v>43263</v>
      </c>
      <c r="N21" s="16">
        <v>25.602</v>
      </c>
      <c r="O21" s="16">
        <v>489.5692</v>
      </c>
      <c r="P21" s="16">
        <v>146.87076</v>
      </c>
      <c r="Q21" s="19">
        <v>43416</v>
      </c>
      <c r="R21" s="19">
        <v>43411</v>
      </c>
      <c r="S21" s="16">
        <f>146.87076+193.4333+141.56425+7.70089</f>
        <v>489.56919999999997</v>
      </c>
      <c r="T21" s="16">
        <v>7.92645</v>
      </c>
      <c r="U21" s="16">
        <f>5.55748+2.36897</f>
        <v>7.92645</v>
      </c>
      <c r="V21" s="16">
        <v>1.818</v>
      </c>
      <c r="W21" s="16">
        <v>1.818</v>
      </c>
      <c r="X21" s="21">
        <f t="shared" si="0"/>
        <v>524.9156499999999</v>
      </c>
      <c r="Y21" s="86" t="s">
        <v>308</v>
      </c>
      <c r="Z21" s="88" t="s">
        <v>347</v>
      </c>
      <c r="AH21" s="4"/>
    </row>
    <row r="22" spans="1:34" ht="83.25" customHeight="1">
      <c r="A22" s="5">
        <v>16</v>
      </c>
      <c r="B22" s="127" t="s">
        <v>61</v>
      </c>
      <c r="C22" s="128" t="s">
        <v>62</v>
      </c>
      <c r="D22" s="128" t="s">
        <v>62</v>
      </c>
      <c r="E22" s="129" t="s">
        <v>62</v>
      </c>
      <c r="F22" s="77" t="s">
        <v>275</v>
      </c>
      <c r="G22" s="26" t="s">
        <v>281</v>
      </c>
      <c r="H22" s="14">
        <v>743.13</v>
      </c>
      <c r="I22" s="14">
        <v>743.13</v>
      </c>
      <c r="J22" s="1">
        <f>31.6106-3.8386</f>
        <v>27.772000000000002</v>
      </c>
      <c r="K22" s="16">
        <v>9.48318</v>
      </c>
      <c r="L22" s="19">
        <v>43316</v>
      </c>
      <c r="M22" s="19">
        <v>43314</v>
      </c>
      <c r="N22" s="16">
        <f>9.48318+18.28882</f>
        <v>27.772000000000002</v>
      </c>
      <c r="O22" s="16">
        <v>432.3823</v>
      </c>
      <c r="P22" s="16">
        <v>432.3823</v>
      </c>
      <c r="Q22" s="19">
        <v>43454</v>
      </c>
      <c r="R22" s="19">
        <v>43454</v>
      </c>
      <c r="S22" s="16">
        <v>432.3823</v>
      </c>
      <c r="T22" s="49">
        <v>9.80175</v>
      </c>
      <c r="U22" s="16">
        <v>7.09195</v>
      </c>
      <c r="V22" s="16">
        <v>1.5407</v>
      </c>
      <c r="W22" s="16">
        <v>1.5407</v>
      </c>
      <c r="X22" s="21">
        <f t="shared" si="0"/>
        <v>468.78695</v>
      </c>
      <c r="Y22" s="86" t="s">
        <v>308</v>
      </c>
      <c r="Z22" s="88" t="s">
        <v>347</v>
      </c>
      <c r="AH22" s="4"/>
    </row>
    <row r="23" spans="1:34" ht="68.25" customHeight="1">
      <c r="A23" s="5">
        <v>17</v>
      </c>
      <c r="B23" s="126" t="s">
        <v>63</v>
      </c>
      <c r="C23" s="126" t="s">
        <v>64</v>
      </c>
      <c r="D23" s="126" t="s">
        <v>64</v>
      </c>
      <c r="E23" s="126" t="s">
        <v>64</v>
      </c>
      <c r="F23" s="77" t="s">
        <v>275</v>
      </c>
      <c r="G23" s="8" t="s">
        <v>276</v>
      </c>
      <c r="H23" s="14">
        <v>491.771</v>
      </c>
      <c r="I23" s="14">
        <v>491.771</v>
      </c>
      <c r="J23" s="1">
        <f>21.1066-2.1446</f>
        <v>18.962</v>
      </c>
      <c r="K23" s="16">
        <v>6.33198</v>
      </c>
      <c r="L23" s="19">
        <v>43258</v>
      </c>
      <c r="M23" s="19">
        <v>43255</v>
      </c>
      <c r="N23" s="16">
        <f>6.33198+12.63002</f>
        <v>18.962</v>
      </c>
      <c r="O23" s="16">
        <f>391.83035-36.27552</f>
        <v>355.55483000000004</v>
      </c>
      <c r="P23" s="49">
        <v>117.5491</v>
      </c>
      <c r="Q23" s="58">
        <v>43451</v>
      </c>
      <c r="R23" s="19">
        <v>43438</v>
      </c>
      <c r="S23" s="16">
        <f>117.5491+151.24089+86.76484</f>
        <v>355.55483</v>
      </c>
      <c r="T23" s="16">
        <v>6.59925</v>
      </c>
      <c r="U23" s="16">
        <f>4.35905+1.33918</f>
        <v>5.69823</v>
      </c>
      <c r="V23" s="16">
        <v>1.417</v>
      </c>
      <c r="W23" s="16">
        <v>1.417</v>
      </c>
      <c r="X23" s="21">
        <f t="shared" si="0"/>
        <v>381.63205999999997</v>
      </c>
      <c r="Y23" s="86" t="s">
        <v>309</v>
      </c>
      <c r="Z23" s="88" t="s">
        <v>347</v>
      </c>
      <c r="AH23" s="4"/>
    </row>
    <row r="24" spans="1:34" ht="68.25" customHeight="1">
      <c r="A24" s="5">
        <v>18</v>
      </c>
      <c r="B24" s="126" t="s">
        <v>65</v>
      </c>
      <c r="C24" s="126" t="s">
        <v>66</v>
      </c>
      <c r="D24" s="126" t="s">
        <v>66</v>
      </c>
      <c r="E24" s="126" t="s">
        <v>66</v>
      </c>
      <c r="F24" s="77" t="s">
        <v>275</v>
      </c>
      <c r="G24" s="47" t="s">
        <v>276</v>
      </c>
      <c r="H24" s="14">
        <v>485.107</v>
      </c>
      <c r="I24" s="14">
        <v>485.107</v>
      </c>
      <c r="J24" s="1">
        <f>20.8258-1.9948</f>
        <v>18.831</v>
      </c>
      <c r="K24" s="1">
        <v>6.24774</v>
      </c>
      <c r="L24" s="19">
        <v>43265</v>
      </c>
      <c r="M24" s="19">
        <v>43262</v>
      </c>
      <c r="N24" s="16">
        <f>6.24774+12.58326</f>
        <v>18.831</v>
      </c>
      <c r="O24" s="16">
        <f>388.76888-32.25312</f>
        <v>356.51576</v>
      </c>
      <c r="P24" s="49">
        <v>116.63066</v>
      </c>
      <c r="Q24" s="58">
        <v>43451</v>
      </c>
      <c r="R24" s="19">
        <v>43438</v>
      </c>
      <c r="S24" s="16">
        <f>116.63066+166.74125+73.14385</f>
        <v>356.51576</v>
      </c>
      <c r="T24" s="16">
        <v>6.5499</v>
      </c>
      <c r="U24" s="16">
        <f>4.59478+1.11789</f>
        <v>5.71267</v>
      </c>
      <c r="V24" s="16">
        <v>1.417</v>
      </c>
      <c r="W24" s="16">
        <v>1.417</v>
      </c>
      <c r="X24" s="21">
        <f t="shared" si="0"/>
        <v>382.47643</v>
      </c>
      <c r="Y24" s="86" t="s">
        <v>309</v>
      </c>
      <c r="Z24" s="88" t="s">
        <v>347</v>
      </c>
      <c r="AH24" s="4"/>
    </row>
    <row r="25" spans="1:34" ht="81.75" customHeight="1">
      <c r="A25" s="5">
        <v>19</v>
      </c>
      <c r="B25" s="126" t="s">
        <v>67</v>
      </c>
      <c r="C25" s="126" t="s">
        <v>68</v>
      </c>
      <c r="D25" s="126" t="s">
        <v>68</v>
      </c>
      <c r="E25" s="126" t="s">
        <v>68</v>
      </c>
      <c r="F25" s="77" t="s">
        <v>275</v>
      </c>
      <c r="G25" s="47" t="s">
        <v>276</v>
      </c>
      <c r="H25" s="14">
        <v>492.708</v>
      </c>
      <c r="I25" s="14">
        <v>492.708</v>
      </c>
      <c r="J25" s="1">
        <f>21.1412-2.1482</f>
        <v>18.993000000000002</v>
      </c>
      <c r="K25" s="16">
        <v>6.34236</v>
      </c>
      <c r="L25" s="19">
        <v>43258</v>
      </c>
      <c r="M25" s="19">
        <v>43255</v>
      </c>
      <c r="N25" s="16">
        <f>6.34236+12.65064</f>
        <v>18.993</v>
      </c>
      <c r="O25" s="16">
        <f>392.57686-40.93075</f>
        <v>351.64611</v>
      </c>
      <c r="P25" s="49">
        <v>117.77305</v>
      </c>
      <c r="Q25" s="58">
        <v>43451</v>
      </c>
      <c r="R25" s="19">
        <v>43438</v>
      </c>
      <c r="S25" s="16">
        <f>117.77305+151.97713+81.89593</f>
        <v>351.64611</v>
      </c>
      <c r="T25" s="16">
        <v>6.6108</v>
      </c>
      <c r="U25" s="16">
        <f>4.37218+1.26596</f>
        <v>5.63814</v>
      </c>
      <c r="V25" s="16">
        <v>1.511</v>
      </c>
      <c r="W25" s="16">
        <v>1.511</v>
      </c>
      <c r="X25" s="21">
        <f t="shared" si="0"/>
        <v>377.78825</v>
      </c>
      <c r="Y25" s="86" t="s">
        <v>309</v>
      </c>
      <c r="Z25" s="88" t="s">
        <v>347</v>
      </c>
      <c r="AH25" s="4"/>
    </row>
    <row r="26" spans="1:34" ht="78.75" customHeight="1">
      <c r="A26" s="5">
        <v>20</v>
      </c>
      <c r="B26" s="126" t="s">
        <v>69</v>
      </c>
      <c r="C26" s="126" t="s">
        <v>70</v>
      </c>
      <c r="D26" s="126" t="s">
        <v>70</v>
      </c>
      <c r="E26" s="126" t="s">
        <v>70</v>
      </c>
      <c r="F26" s="77" t="s">
        <v>275</v>
      </c>
      <c r="G26" s="55" t="s">
        <v>281</v>
      </c>
      <c r="H26" s="14">
        <v>493.049</v>
      </c>
      <c r="I26" s="14">
        <v>493.049</v>
      </c>
      <c r="J26" s="1">
        <f>21.1554-2.1494</f>
        <v>19.006</v>
      </c>
      <c r="K26" s="16">
        <v>6.34662</v>
      </c>
      <c r="L26" s="19">
        <v>43258</v>
      </c>
      <c r="M26" s="19">
        <v>43255</v>
      </c>
      <c r="N26" s="16">
        <f>6.34662+12.65938</f>
        <v>19.006</v>
      </c>
      <c r="O26" s="16">
        <v>289.49676</v>
      </c>
      <c r="P26" s="16">
        <v>289.49676</v>
      </c>
      <c r="Q26" s="19">
        <v>43454</v>
      </c>
      <c r="R26" s="19">
        <v>43454</v>
      </c>
      <c r="S26" s="16">
        <v>289.49676</v>
      </c>
      <c r="T26" s="49">
        <v>6.61605</v>
      </c>
      <c r="U26" s="16">
        <v>4.74698</v>
      </c>
      <c r="V26" s="16">
        <v>1.0577</v>
      </c>
      <c r="W26" s="16">
        <v>1.0577</v>
      </c>
      <c r="X26" s="21">
        <f t="shared" si="0"/>
        <v>314.30744000000004</v>
      </c>
      <c r="Y26" s="86" t="s">
        <v>310</v>
      </c>
      <c r="Z26" s="88" t="s">
        <v>347</v>
      </c>
      <c r="AH26" s="4"/>
    </row>
    <row r="27" spans="1:34" ht="83.25" customHeight="1">
      <c r="A27" s="5">
        <v>21</v>
      </c>
      <c r="B27" s="126" t="s">
        <v>71</v>
      </c>
      <c r="C27" s="126" t="s">
        <v>72</v>
      </c>
      <c r="D27" s="126" t="s">
        <v>72</v>
      </c>
      <c r="E27" s="126" t="s">
        <v>72</v>
      </c>
      <c r="F27" s="77" t="s">
        <v>275</v>
      </c>
      <c r="G27" s="47" t="s">
        <v>282</v>
      </c>
      <c r="H27" s="14">
        <v>673.255</v>
      </c>
      <c r="I27" s="14">
        <v>673.255</v>
      </c>
      <c r="J27" s="1">
        <f>28.8724-3.2504</f>
        <v>25.622</v>
      </c>
      <c r="K27" s="16">
        <v>8.66172</v>
      </c>
      <c r="L27" s="19">
        <v>43265</v>
      </c>
      <c r="M27" s="19">
        <v>43263</v>
      </c>
      <c r="N27" s="16">
        <f>8.66172+16.96028</f>
        <v>25.622</v>
      </c>
      <c r="O27" s="16">
        <v>395.72288</v>
      </c>
      <c r="P27" s="16">
        <v>395.72288</v>
      </c>
      <c r="Q27" s="19">
        <v>43454</v>
      </c>
      <c r="R27" s="19">
        <v>43454</v>
      </c>
      <c r="S27" s="16">
        <v>395.72288</v>
      </c>
      <c r="T27" s="49">
        <v>9.03315</v>
      </c>
      <c r="U27" s="16">
        <f>6.48913</f>
        <v>6.48913</v>
      </c>
      <c r="V27" s="16">
        <v>1.4833</v>
      </c>
      <c r="W27" s="16">
        <v>1.4833</v>
      </c>
      <c r="X27" s="21">
        <f t="shared" si="0"/>
        <v>429.31730999999996</v>
      </c>
      <c r="Y27" s="86" t="s">
        <v>310</v>
      </c>
      <c r="Z27" s="88" t="s">
        <v>347</v>
      </c>
      <c r="AH27" s="4"/>
    </row>
    <row r="28" spans="1:34" ht="83.25" customHeight="1">
      <c r="A28" s="5">
        <v>22</v>
      </c>
      <c r="B28" s="126" t="s">
        <v>73</v>
      </c>
      <c r="C28" s="126" t="s">
        <v>74</v>
      </c>
      <c r="D28" s="126" t="s">
        <v>74</v>
      </c>
      <c r="E28" s="126" t="s">
        <v>74</v>
      </c>
      <c r="F28" s="77" t="s">
        <v>275</v>
      </c>
      <c r="G28" s="55" t="s">
        <v>281</v>
      </c>
      <c r="H28" s="14">
        <v>446.382</v>
      </c>
      <c r="I28" s="14">
        <v>446.382</v>
      </c>
      <c r="J28" s="1">
        <f>19.1626-1.4236</f>
        <v>17.739</v>
      </c>
      <c r="K28" s="16">
        <v>5.74878</v>
      </c>
      <c r="L28" s="19">
        <v>43316</v>
      </c>
      <c r="M28" s="19">
        <v>43314</v>
      </c>
      <c r="N28" s="16">
        <f>5.74878+11.99022</f>
        <v>17.739</v>
      </c>
      <c r="O28" s="16">
        <v>269.05256</v>
      </c>
      <c r="P28" s="16">
        <v>269.05256</v>
      </c>
      <c r="Q28" s="19">
        <v>43454</v>
      </c>
      <c r="R28" s="19">
        <v>43454</v>
      </c>
      <c r="S28" s="16">
        <v>269.05256</v>
      </c>
      <c r="T28" s="49">
        <v>6.14355</v>
      </c>
      <c r="U28" s="16">
        <v>4.41222</v>
      </c>
      <c r="V28" s="16">
        <v>0.9254</v>
      </c>
      <c r="W28" s="16">
        <v>0.9254</v>
      </c>
      <c r="X28" s="21">
        <f t="shared" si="0"/>
        <v>292.12918</v>
      </c>
      <c r="Y28" s="86" t="s">
        <v>310</v>
      </c>
      <c r="Z28" s="88" t="s">
        <v>347</v>
      </c>
      <c r="AH28" s="4"/>
    </row>
    <row r="29" spans="1:34" ht="83.25" customHeight="1">
      <c r="A29" s="5">
        <v>23</v>
      </c>
      <c r="B29" s="126" t="s">
        <v>75</v>
      </c>
      <c r="C29" s="126" t="s">
        <v>76</v>
      </c>
      <c r="D29" s="126" t="s">
        <v>76</v>
      </c>
      <c r="E29" s="126" t="s">
        <v>76</v>
      </c>
      <c r="F29" s="77" t="s">
        <v>275</v>
      </c>
      <c r="G29" s="17" t="s">
        <v>277</v>
      </c>
      <c r="H29" s="14">
        <v>241.715</v>
      </c>
      <c r="I29" s="14">
        <v>208.809</v>
      </c>
      <c r="J29" s="1">
        <v>9.546</v>
      </c>
      <c r="K29" s="1">
        <v>3.12372</v>
      </c>
      <c r="L29" s="19">
        <v>43265</v>
      </c>
      <c r="M29" s="19">
        <v>43264</v>
      </c>
      <c r="N29" s="16">
        <v>9.546</v>
      </c>
      <c r="O29" s="16">
        <f>221.6282-20.53801</f>
        <v>201.09019</v>
      </c>
      <c r="P29" s="16">
        <v>66.48846</v>
      </c>
      <c r="Q29" s="19">
        <v>43346</v>
      </c>
      <c r="R29" s="19">
        <v>43346</v>
      </c>
      <c r="S29" s="16">
        <f>66.48846+128.84531+5.75642</f>
        <v>201.09019</v>
      </c>
      <c r="T29" s="16">
        <f>3.5532-0.29116</f>
        <v>3.26204</v>
      </c>
      <c r="U29" s="16">
        <f>3.17175+0.09029</f>
        <v>3.26204</v>
      </c>
      <c r="V29" s="16">
        <v>0.756</v>
      </c>
      <c r="W29" s="16">
        <v>0.756</v>
      </c>
      <c r="X29" s="21">
        <f t="shared" si="0"/>
        <v>214.65423</v>
      </c>
      <c r="Y29" s="86" t="s">
        <v>311</v>
      </c>
      <c r="Z29" s="88" t="s">
        <v>347</v>
      </c>
      <c r="AH29" s="4"/>
    </row>
    <row r="30" spans="1:34" ht="83.25" customHeight="1">
      <c r="A30" s="5">
        <v>24</v>
      </c>
      <c r="B30" s="126" t="s">
        <v>77</v>
      </c>
      <c r="C30" s="126" t="s">
        <v>78</v>
      </c>
      <c r="D30" s="126" t="s">
        <v>78</v>
      </c>
      <c r="E30" s="126" t="s">
        <v>78</v>
      </c>
      <c r="F30" s="77" t="s">
        <v>275</v>
      </c>
      <c r="G30" s="17" t="s">
        <v>283</v>
      </c>
      <c r="H30" s="14">
        <v>485.935</v>
      </c>
      <c r="I30" s="14">
        <v>485.935</v>
      </c>
      <c r="J30" s="1">
        <f>20.8602-1.9982</f>
        <v>18.862</v>
      </c>
      <c r="K30" s="1">
        <v>6.25806</v>
      </c>
      <c r="L30" s="19">
        <v>43265</v>
      </c>
      <c r="M30" s="19">
        <v>43262</v>
      </c>
      <c r="N30" s="16">
        <f>6.25806+12.60394</f>
        <v>18.862000000000002</v>
      </c>
      <c r="O30" s="16">
        <v>287.0154</v>
      </c>
      <c r="P30" s="16">
        <v>287.0154</v>
      </c>
      <c r="Q30" s="19">
        <v>43454</v>
      </c>
      <c r="R30" s="19">
        <v>43454</v>
      </c>
      <c r="S30" s="16">
        <v>287.0154</v>
      </c>
      <c r="T30" s="49">
        <v>6.5625</v>
      </c>
      <c r="U30" s="16">
        <v>4.70626</v>
      </c>
      <c r="V30" s="16">
        <v>0.9919</v>
      </c>
      <c r="W30" s="16">
        <v>0.9919</v>
      </c>
      <c r="X30" s="21">
        <f t="shared" si="0"/>
        <v>311.57556</v>
      </c>
      <c r="Y30" s="86" t="s">
        <v>311</v>
      </c>
      <c r="Z30" s="88" t="s">
        <v>347</v>
      </c>
      <c r="AH30" s="4"/>
    </row>
    <row r="31" spans="1:34" ht="83.25" customHeight="1">
      <c r="A31" s="5">
        <v>25</v>
      </c>
      <c r="B31" s="126" t="s">
        <v>79</v>
      </c>
      <c r="C31" s="126" t="s">
        <v>80</v>
      </c>
      <c r="D31" s="126" t="s">
        <v>80</v>
      </c>
      <c r="E31" s="126" t="s">
        <v>80</v>
      </c>
      <c r="F31" s="77" t="s">
        <v>275</v>
      </c>
      <c r="G31" s="28" t="s">
        <v>278</v>
      </c>
      <c r="H31" s="14">
        <v>242.038</v>
      </c>
      <c r="I31" s="14">
        <v>208.394</v>
      </c>
      <c r="J31" s="1">
        <v>9.559</v>
      </c>
      <c r="K31" s="1">
        <v>3.12798</v>
      </c>
      <c r="L31" s="19">
        <v>43265</v>
      </c>
      <c r="M31" s="19">
        <v>43264</v>
      </c>
      <c r="N31" s="16">
        <v>9.559</v>
      </c>
      <c r="O31" s="16">
        <f>221.9262-19.80904</f>
        <v>202.11715999999998</v>
      </c>
      <c r="P31" s="16">
        <v>66.57786</v>
      </c>
      <c r="Q31" s="19">
        <v>43346</v>
      </c>
      <c r="R31" s="19">
        <v>43346</v>
      </c>
      <c r="S31" s="16">
        <f>66.57786+128.33458+7.20472</f>
        <v>202.11716</v>
      </c>
      <c r="T31" s="16">
        <f>3.5574-0.27886</f>
        <v>3.27854</v>
      </c>
      <c r="U31" s="16">
        <f>3.16526+0.11328</f>
        <v>3.27854</v>
      </c>
      <c r="V31" s="16">
        <v>0.756</v>
      </c>
      <c r="W31" s="16">
        <v>0.756</v>
      </c>
      <c r="X31" s="21">
        <f t="shared" si="0"/>
        <v>215.7107</v>
      </c>
      <c r="Y31" s="86" t="s">
        <v>311</v>
      </c>
      <c r="Z31" s="88" t="s">
        <v>347</v>
      </c>
      <c r="AH31" s="4"/>
    </row>
    <row r="32" spans="1:34" ht="66" customHeight="1">
      <c r="A32" s="5">
        <v>26</v>
      </c>
      <c r="B32" s="126" t="s">
        <v>81</v>
      </c>
      <c r="C32" s="126" t="s">
        <v>82</v>
      </c>
      <c r="D32" s="126" t="s">
        <v>82</v>
      </c>
      <c r="E32" s="126" t="s">
        <v>82</v>
      </c>
      <c r="F32" s="77" t="s">
        <v>275</v>
      </c>
      <c r="G32" s="26" t="s">
        <v>268</v>
      </c>
      <c r="H32" s="14">
        <v>314.872</v>
      </c>
      <c r="I32" s="14">
        <v>314.872</v>
      </c>
      <c r="J32" s="1">
        <f>14.5576-2.7066</f>
        <v>11.851</v>
      </c>
      <c r="K32" s="16">
        <v>4.36728</v>
      </c>
      <c r="L32" s="19">
        <v>43316</v>
      </c>
      <c r="M32" s="19">
        <v>43314</v>
      </c>
      <c r="N32" s="16">
        <f>4.36728+7.48372</f>
        <v>11.850999999999999</v>
      </c>
      <c r="O32" s="48" t="s">
        <v>195</v>
      </c>
      <c r="P32" s="48">
        <v>172.7628</v>
      </c>
      <c r="Q32" s="19">
        <v>43454</v>
      </c>
      <c r="R32" s="62">
        <v>43454</v>
      </c>
      <c r="S32" s="48">
        <v>172.7628</v>
      </c>
      <c r="T32" s="49">
        <v>3.95325</v>
      </c>
      <c r="U32" s="16">
        <v>2.8318</v>
      </c>
      <c r="V32" s="16">
        <v>0.6545</v>
      </c>
      <c r="W32" s="16">
        <v>0.6545</v>
      </c>
      <c r="X32" s="21">
        <f t="shared" si="0"/>
        <v>188.1001</v>
      </c>
      <c r="Y32" s="86" t="s">
        <v>311</v>
      </c>
      <c r="Z32" s="88" t="s">
        <v>347</v>
      </c>
      <c r="AH32" s="4"/>
    </row>
    <row r="33" spans="1:34" ht="87" customHeight="1">
      <c r="A33" s="5">
        <v>27</v>
      </c>
      <c r="B33" s="126" t="s">
        <v>83</v>
      </c>
      <c r="C33" s="126" t="s">
        <v>84</v>
      </c>
      <c r="D33" s="126" t="s">
        <v>84</v>
      </c>
      <c r="E33" s="126" t="s">
        <v>84</v>
      </c>
      <c r="F33" s="77" t="s">
        <v>275</v>
      </c>
      <c r="G33" s="8" t="s">
        <v>276</v>
      </c>
      <c r="H33" s="14">
        <v>492.456</v>
      </c>
      <c r="I33" s="14">
        <v>492.456</v>
      </c>
      <c r="J33" s="1">
        <f>21.13-2.147</f>
        <v>18.983</v>
      </c>
      <c r="K33" s="16">
        <v>6.339</v>
      </c>
      <c r="L33" s="19">
        <v>43258</v>
      </c>
      <c r="M33" s="19">
        <v>43255</v>
      </c>
      <c r="N33" s="16">
        <f>6.339+12.644</f>
        <v>18.983</v>
      </c>
      <c r="O33" s="16">
        <f>392.31523-47.59707</f>
        <v>344.71816</v>
      </c>
      <c r="P33" s="49">
        <v>117.69457</v>
      </c>
      <c r="Q33" s="58">
        <v>43451</v>
      </c>
      <c r="R33" s="19">
        <v>43448</v>
      </c>
      <c r="S33" s="16">
        <f>117.69457+165.76333+61.26026</f>
        <v>344.71816</v>
      </c>
      <c r="T33" s="16">
        <v>6.60765</v>
      </c>
      <c r="U33" s="16">
        <f>4.596+0.92363</f>
        <v>5.51963</v>
      </c>
      <c r="V33" s="16">
        <v>1.511</v>
      </c>
      <c r="W33" s="16">
        <v>1.511</v>
      </c>
      <c r="X33" s="21">
        <f t="shared" si="0"/>
        <v>370.73179</v>
      </c>
      <c r="Y33" s="86" t="s">
        <v>312</v>
      </c>
      <c r="Z33" s="88" t="s">
        <v>347</v>
      </c>
      <c r="AH33" s="4"/>
    </row>
    <row r="34" spans="1:34" ht="87" customHeight="1">
      <c r="A34" s="5">
        <v>28</v>
      </c>
      <c r="B34" s="126" t="s">
        <v>85</v>
      </c>
      <c r="C34" s="126" t="s">
        <v>86</v>
      </c>
      <c r="D34" s="126" t="s">
        <v>86</v>
      </c>
      <c r="E34" s="126" t="s">
        <v>86</v>
      </c>
      <c r="F34" s="77" t="s">
        <v>275</v>
      </c>
      <c r="G34" s="28" t="s">
        <v>284</v>
      </c>
      <c r="H34" s="14">
        <v>431.758</v>
      </c>
      <c r="I34" s="14">
        <v>431.758</v>
      </c>
      <c r="J34" s="1">
        <v>17.619</v>
      </c>
      <c r="K34" s="16">
        <v>5.2857</v>
      </c>
      <c r="L34" s="19">
        <v>43265</v>
      </c>
      <c r="M34" s="19">
        <v>43263</v>
      </c>
      <c r="N34" s="16">
        <v>17.619</v>
      </c>
      <c r="O34" s="16">
        <v>365.741</v>
      </c>
      <c r="P34" s="16">
        <v>109.7223</v>
      </c>
      <c r="Q34" s="19">
        <v>43416</v>
      </c>
      <c r="R34" s="19">
        <v>43411</v>
      </c>
      <c r="S34" s="16">
        <f>109.7223+167.609+44.03171+44.37799</f>
        <v>365.741</v>
      </c>
      <c r="T34" s="16">
        <v>5.922</v>
      </c>
      <c r="U34" s="16">
        <f>4.52949+1.39251</f>
        <v>5.922</v>
      </c>
      <c r="V34" s="16">
        <v>0.472</v>
      </c>
      <c r="W34" s="16">
        <v>0.472</v>
      </c>
      <c r="X34" s="21">
        <f t="shared" si="0"/>
        <v>389.754</v>
      </c>
      <c r="Y34" s="86" t="s">
        <v>312</v>
      </c>
      <c r="Z34" s="88" t="s">
        <v>347</v>
      </c>
      <c r="AH34" s="4"/>
    </row>
    <row r="35" spans="1:34" ht="83.25" customHeight="1">
      <c r="A35" s="5">
        <v>29</v>
      </c>
      <c r="B35" s="126" t="s">
        <v>87</v>
      </c>
      <c r="C35" s="126" t="s">
        <v>88</v>
      </c>
      <c r="D35" s="126" t="s">
        <v>88</v>
      </c>
      <c r="E35" s="126" t="s">
        <v>88</v>
      </c>
      <c r="F35" s="77" t="s">
        <v>275</v>
      </c>
      <c r="G35" s="41" t="s">
        <v>284</v>
      </c>
      <c r="H35" s="14">
        <v>449.413</v>
      </c>
      <c r="I35" s="14">
        <v>449.413</v>
      </c>
      <c r="J35" s="1">
        <v>19.2956</v>
      </c>
      <c r="K35" s="16">
        <v>5.78868</v>
      </c>
      <c r="L35" s="19">
        <v>43265</v>
      </c>
      <c r="M35" s="19">
        <v>43263</v>
      </c>
      <c r="N35" s="16">
        <v>19.2956</v>
      </c>
      <c r="O35" s="16">
        <v>377.4276</v>
      </c>
      <c r="P35" s="16">
        <v>113.22828</v>
      </c>
      <c r="Q35" s="19">
        <v>43416</v>
      </c>
      <c r="R35" s="19">
        <v>43411</v>
      </c>
      <c r="S35" s="16">
        <f>113.22828+118.10728+136.96686</f>
        <v>368.30242</v>
      </c>
      <c r="T35" s="16">
        <v>6.11835</v>
      </c>
      <c r="U35" s="16">
        <f>3.77476+2.34359</f>
        <v>6.1183499999999995</v>
      </c>
      <c r="V35" s="16">
        <v>1.322</v>
      </c>
      <c r="W35" s="16">
        <v>1.322</v>
      </c>
      <c r="X35" s="21">
        <f t="shared" si="0"/>
        <v>395.03837</v>
      </c>
      <c r="Y35" s="86" t="s">
        <v>312</v>
      </c>
      <c r="Z35" s="88" t="s">
        <v>347</v>
      </c>
      <c r="AH35" s="4"/>
    </row>
    <row r="36" spans="1:34" ht="83.25" customHeight="1">
      <c r="A36" s="5">
        <v>30</v>
      </c>
      <c r="B36" s="126" t="s">
        <v>89</v>
      </c>
      <c r="C36" s="126" t="s">
        <v>90</v>
      </c>
      <c r="D36" s="126" t="s">
        <v>90</v>
      </c>
      <c r="E36" s="126" t="s">
        <v>90</v>
      </c>
      <c r="F36" s="77" t="s">
        <v>275</v>
      </c>
      <c r="G36" s="26" t="s">
        <v>285</v>
      </c>
      <c r="H36" s="14">
        <v>216.558</v>
      </c>
      <c r="I36" s="14">
        <v>179.69</v>
      </c>
      <c r="J36" s="1">
        <v>8.483</v>
      </c>
      <c r="K36" s="16">
        <v>3.32646</v>
      </c>
      <c r="L36" s="19">
        <v>43265</v>
      </c>
      <c r="M36" s="19">
        <v>43263</v>
      </c>
      <c r="N36" s="16">
        <v>8.483</v>
      </c>
      <c r="O36" s="16">
        <f>197.1646-30.83316</f>
        <v>166.33144000000001</v>
      </c>
      <c r="P36" s="16">
        <v>59.14938</v>
      </c>
      <c r="Q36" s="19">
        <v>43346</v>
      </c>
      <c r="R36" s="19">
        <v>43346</v>
      </c>
      <c r="S36" s="16">
        <f>59.14938+81.22128+25.96078</f>
        <v>166.33144</v>
      </c>
      <c r="T36" s="16">
        <f>3.15735-0.45571</f>
        <v>2.7016400000000003</v>
      </c>
      <c r="U36" s="16">
        <f>2.29214+0.4095</f>
        <v>2.70164</v>
      </c>
      <c r="V36" s="16">
        <v>2.172</v>
      </c>
      <c r="W36" s="16">
        <v>2.172</v>
      </c>
      <c r="X36" s="21">
        <f t="shared" si="0"/>
        <v>179.68807999999999</v>
      </c>
      <c r="Y36" s="86" t="s">
        <v>304</v>
      </c>
      <c r="Z36" s="88" t="s">
        <v>347</v>
      </c>
      <c r="AH36" s="4"/>
    </row>
    <row r="37" spans="1:34" ht="83.25" customHeight="1">
      <c r="A37" s="5">
        <v>31</v>
      </c>
      <c r="B37" s="126" t="s">
        <v>91</v>
      </c>
      <c r="C37" s="126" t="s">
        <v>92</v>
      </c>
      <c r="D37" s="126" t="s">
        <v>92</v>
      </c>
      <c r="E37" s="126" t="s">
        <v>92</v>
      </c>
      <c r="F37" s="77" t="s">
        <v>275</v>
      </c>
      <c r="G37" s="26" t="s">
        <v>286</v>
      </c>
      <c r="H37" s="14">
        <v>257.429</v>
      </c>
      <c r="I37" s="14">
        <v>231.931</v>
      </c>
      <c r="J37" s="1">
        <v>10.169</v>
      </c>
      <c r="K37" s="16">
        <v>3.0507</v>
      </c>
      <c r="L37" s="19">
        <v>43273</v>
      </c>
      <c r="M37" s="19">
        <v>43264</v>
      </c>
      <c r="N37" s="16">
        <v>10.169</v>
      </c>
      <c r="O37" s="16">
        <f>236.069-18.60724</f>
        <v>217.46176</v>
      </c>
      <c r="P37" s="16">
        <v>70.8207</v>
      </c>
      <c r="Q37" s="19">
        <v>43315</v>
      </c>
      <c r="R37" s="19">
        <v>43315</v>
      </c>
      <c r="S37" s="16">
        <f>70.8207+146.64106</f>
        <v>217.46176000000003</v>
      </c>
      <c r="T37" s="16">
        <f>3.7842-0.25482</f>
        <v>3.5293799999999997</v>
      </c>
      <c r="U37" s="16">
        <v>3.52938</v>
      </c>
      <c r="V37" s="16">
        <v>0.769</v>
      </c>
      <c r="W37" s="16">
        <v>0.769</v>
      </c>
      <c r="X37" s="21">
        <f t="shared" si="0"/>
        <v>231.92914000000005</v>
      </c>
      <c r="Y37" s="86" t="s">
        <v>312</v>
      </c>
      <c r="Z37" s="88" t="s">
        <v>347</v>
      </c>
      <c r="AH37" s="4"/>
    </row>
    <row r="38" spans="1:34" ht="83.25" customHeight="1">
      <c r="A38" s="5">
        <v>32</v>
      </c>
      <c r="B38" s="126" t="s">
        <v>93</v>
      </c>
      <c r="C38" s="126" t="s">
        <v>94</v>
      </c>
      <c r="D38" s="126" t="s">
        <v>94</v>
      </c>
      <c r="E38" s="126" t="s">
        <v>94</v>
      </c>
      <c r="F38" s="77" t="s">
        <v>275</v>
      </c>
      <c r="G38" s="26" t="s">
        <v>287</v>
      </c>
      <c r="H38" s="14">
        <v>297.546</v>
      </c>
      <c r="I38" s="14">
        <v>241.858</v>
      </c>
      <c r="J38" s="1">
        <f>12.7872-1.0632</f>
        <v>11.724</v>
      </c>
      <c r="K38" s="16">
        <v>3.83616</v>
      </c>
      <c r="L38" s="19">
        <v>43258</v>
      </c>
      <c r="M38" s="19">
        <v>43255</v>
      </c>
      <c r="N38" s="16">
        <v>11.724</v>
      </c>
      <c r="O38" s="16">
        <f>272.8612-46.40763</f>
        <v>226.45357</v>
      </c>
      <c r="P38" s="16">
        <v>81.85836</v>
      </c>
      <c r="Q38" s="19">
        <v>43346</v>
      </c>
      <c r="R38" s="19">
        <v>43346</v>
      </c>
      <c r="S38" s="16">
        <f>81.85836+85.75124+58.84397</f>
        <v>226.45357</v>
      </c>
      <c r="T38" s="16">
        <v>4.36275</v>
      </c>
      <c r="U38" s="16">
        <f>2.73508+0.92186</f>
        <v>3.65694</v>
      </c>
      <c r="V38" s="16">
        <v>0.944</v>
      </c>
      <c r="W38" s="16">
        <v>0.944</v>
      </c>
      <c r="X38" s="21">
        <f t="shared" si="0"/>
        <v>242.77851</v>
      </c>
      <c r="Y38" s="86" t="s">
        <v>323</v>
      </c>
      <c r="Z38" s="88" t="s">
        <v>347</v>
      </c>
      <c r="AH38" s="4"/>
    </row>
    <row r="39" spans="1:34" ht="83.25" customHeight="1">
      <c r="A39" s="5">
        <v>33</v>
      </c>
      <c r="B39" s="126" t="s">
        <v>95</v>
      </c>
      <c r="C39" s="126" t="s">
        <v>96</v>
      </c>
      <c r="D39" s="126" t="s">
        <v>96</v>
      </c>
      <c r="E39" s="126" t="s">
        <v>96</v>
      </c>
      <c r="F39" s="77" t="s">
        <v>275</v>
      </c>
      <c r="G39" s="26" t="s">
        <v>285</v>
      </c>
      <c r="H39" s="14">
        <v>140.345</v>
      </c>
      <c r="I39" s="14">
        <v>125.289</v>
      </c>
      <c r="J39" s="1">
        <f>6.0378-0.5028</f>
        <v>5.535</v>
      </c>
      <c r="K39" s="16">
        <v>1.81134</v>
      </c>
      <c r="L39" s="19">
        <v>43258</v>
      </c>
      <c r="M39" s="19">
        <v>43255</v>
      </c>
      <c r="N39" s="16">
        <v>5.535</v>
      </c>
      <c r="O39" s="16">
        <f>128.7216-10.76162</f>
        <v>117.95998</v>
      </c>
      <c r="P39" s="16">
        <v>38.61648</v>
      </c>
      <c r="Q39" s="19">
        <v>43346</v>
      </c>
      <c r="R39" s="19">
        <v>43346</v>
      </c>
      <c r="S39" s="16">
        <f>38.61648+45.75888+33.58462</f>
        <v>117.95998</v>
      </c>
      <c r="T39" s="16">
        <v>2.0601</v>
      </c>
      <c r="U39" s="16">
        <f>1.3763+0.52821</f>
        <v>1.9045100000000001</v>
      </c>
      <c r="V39" s="16">
        <v>0.416</v>
      </c>
      <c r="W39" s="16">
        <v>0.416</v>
      </c>
      <c r="X39" s="21">
        <f aca="true" t="shared" si="1" ref="X39:X58">W39+U39+S39+N39</f>
        <v>125.81549</v>
      </c>
      <c r="Y39" s="86" t="s">
        <v>323</v>
      </c>
      <c r="Z39" s="88" t="s">
        <v>347</v>
      </c>
      <c r="AH39" s="4"/>
    </row>
    <row r="40" spans="1:34" ht="83.25" customHeight="1">
      <c r="A40" s="5">
        <v>34</v>
      </c>
      <c r="B40" s="126" t="s">
        <v>97</v>
      </c>
      <c r="C40" s="126" t="s">
        <v>98</v>
      </c>
      <c r="D40" s="126" t="s">
        <v>98</v>
      </c>
      <c r="E40" s="126" t="s">
        <v>98</v>
      </c>
      <c r="F40" s="77" t="s">
        <v>275</v>
      </c>
      <c r="G40" s="28" t="s">
        <v>285</v>
      </c>
      <c r="H40" s="14">
        <v>264.35</v>
      </c>
      <c r="I40" s="14">
        <v>247.835</v>
      </c>
      <c r="J40" s="1">
        <f>11.3696-0.9456</f>
        <v>10.424</v>
      </c>
      <c r="K40" s="16">
        <v>3.41088</v>
      </c>
      <c r="L40" s="19">
        <v>43258</v>
      </c>
      <c r="M40" s="19">
        <v>43255</v>
      </c>
      <c r="N40" s="16">
        <v>10.424</v>
      </c>
      <c r="O40" s="16">
        <f>242.4876-7.98538</f>
        <v>234.50222</v>
      </c>
      <c r="P40" s="16">
        <v>72.74628</v>
      </c>
      <c r="Q40" s="19" t="s">
        <v>171</v>
      </c>
      <c r="R40" s="19">
        <v>43346</v>
      </c>
      <c r="S40" s="16">
        <f>72.74628+59.13112+102.62482</f>
        <v>234.50222</v>
      </c>
      <c r="T40" s="16">
        <v>3.87975</v>
      </c>
      <c r="U40" s="16">
        <f>2.15105+1.63553</f>
        <v>3.78658</v>
      </c>
      <c r="V40" s="16">
        <v>0.756</v>
      </c>
      <c r="W40" s="16">
        <v>0.756</v>
      </c>
      <c r="X40" s="21">
        <f t="shared" si="1"/>
        <v>249.4688</v>
      </c>
      <c r="Y40" s="86" t="s">
        <v>324</v>
      </c>
      <c r="Z40" s="88" t="s">
        <v>347</v>
      </c>
      <c r="AH40" s="4"/>
    </row>
    <row r="41" spans="1:34" ht="83.25" customHeight="1">
      <c r="A41" s="5">
        <v>35</v>
      </c>
      <c r="B41" s="126" t="s">
        <v>99</v>
      </c>
      <c r="C41" s="126" t="s">
        <v>100</v>
      </c>
      <c r="D41" s="126" t="s">
        <v>100</v>
      </c>
      <c r="E41" s="126" t="s">
        <v>100</v>
      </c>
      <c r="F41" s="77" t="s">
        <v>275</v>
      </c>
      <c r="G41" s="28" t="s">
        <v>285</v>
      </c>
      <c r="H41" s="14">
        <v>242.384</v>
      </c>
      <c r="I41" s="14">
        <v>202.772</v>
      </c>
      <c r="J41" s="1">
        <v>9.572</v>
      </c>
      <c r="K41" s="1">
        <v>3.13224</v>
      </c>
      <c r="L41" s="19">
        <v>43265</v>
      </c>
      <c r="M41" s="19">
        <v>43264</v>
      </c>
      <c r="N41" s="16">
        <v>9.572</v>
      </c>
      <c r="O41" s="16">
        <f>222.2436-32.87746</f>
        <v>189.36613999999997</v>
      </c>
      <c r="P41" s="16">
        <v>66.67308</v>
      </c>
      <c r="Q41" s="19">
        <v>43346</v>
      </c>
      <c r="R41" s="19">
        <v>43346</v>
      </c>
      <c r="S41" s="16">
        <f>66.67308+96.11305+26.58001</f>
        <v>189.36614000000003</v>
      </c>
      <c r="T41" s="16">
        <f>3.56265-0.48617</f>
        <v>3.07648</v>
      </c>
      <c r="U41" s="16">
        <f>2.6576+0.41888</f>
        <v>3.07648</v>
      </c>
      <c r="V41" s="16">
        <v>0.756</v>
      </c>
      <c r="W41" s="16">
        <v>0.756</v>
      </c>
      <c r="X41" s="21">
        <f t="shared" si="1"/>
        <v>202.77062000000004</v>
      </c>
      <c r="Y41" s="86" t="s">
        <v>313</v>
      </c>
      <c r="Z41" s="88" t="s">
        <v>347</v>
      </c>
      <c r="AH41" s="4"/>
    </row>
    <row r="42" spans="1:34" ht="83.25" customHeight="1">
      <c r="A42" s="5">
        <v>36</v>
      </c>
      <c r="B42" s="126" t="s">
        <v>101</v>
      </c>
      <c r="C42" s="126" t="s">
        <v>102</v>
      </c>
      <c r="D42" s="126" t="s">
        <v>102</v>
      </c>
      <c r="E42" s="126" t="s">
        <v>102</v>
      </c>
      <c r="F42" s="77" t="s">
        <v>275</v>
      </c>
      <c r="G42" s="28" t="s">
        <v>285</v>
      </c>
      <c r="H42" s="14">
        <v>244.621</v>
      </c>
      <c r="I42" s="14">
        <v>204.301</v>
      </c>
      <c r="J42" s="67">
        <f>10.536-0.876</f>
        <v>9.66</v>
      </c>
      <c r="K42" s="16">
        <v>3.1608</v>
      </c>
      <c r="L42" s="19">
        <v>43258</v>
      </c>
      <c r="M42" s="19">
        <v>43255</v>
      </c>
      <c r="N42" s="38">
        <v>9.66</v>
      </c>
      <c r="O42" s="16">
        <f>224.3328-33.52128</f>
        <v>190.81152</v>
      </c>
      <c r="P42" s="16">
        <v>67.29984</v>
      </c>
      <c r="Q42" s="19">
        <v>43346</v>
      </c>
      <c r="R42" s="19">
        <v>43346</v>
      </c>
      <c r="S42" s="16">
        <f>67.29984+97.5509+25.96078</f>
        <v>190.81152</v>
      </c>
      <c r="T42" s="16">
        <f>3.5952-0.4941</f>
        <v>3.1011</v>
      </c>
      <c r="U42" s="16">
        <f>2.6916+0.4095</f>
        <v>3.1011</v>
      </c>
      <c r="V42" s="16">
        <v>0.727</v>
      </c>
      <c r="W42" s="16">
        <v>0.727</v>
      </c>
      <c r="X42" s="21">
        <f t="shared" si="1"/>
        <v>204.29962</v>
      </c>
      <c r="Y42" s="86" t="s">
        <v>313</v>
      </c>
      <c r="Z42" s="88" t="s">
        <v>347</v>
      </c>
      <c r="AH42" s="4"/>
    </row>
    <row r="43" spans="1:34" ht="83.25" customHeight="1">
      <c r="A43" s="5">
        <v>37</v>
      </c>
      <c r="B43" s="126" t="s">
        <v>103</v>
      </c>
      <c r="C43" s="126" t="s">
        <v>104</v>
      </c>
      <c r="D43" s="126" t="s">
        <v>104</v>
      </c>
      <c r="E43" s="126" t="s">
        <v>104</v>
      </c>
      <c r="F43" s="77" t="s">
        <v>275</v>
      </c>
      <c r="G43" s="28" t="s">
        <v>285</v>
      </c>
      <c r="H43" s="14">
        <v>288.538</v>
      </c>
      <c r="I43" s="14">
        <v>267.916</v>
      </c>
      <c r="J43" s="1">
        <f>12.4294-1.0344</f>
        <v>11.395</v>
      </c>
      <c r="K43" s="16">
        <v>3.72882</v>
      </c>
      <c r="L43" s="19">
        <v>43258</v>
      </c>
      <c r="M43" s="19">
        <v>43255</v>
      </c>
      <c r="N43" s="16">
        <v>11.395</v>
      </c>
      <c r="O43" s="16">
        <f>264.6146-12.05965</f>
        <v>252.55495</v>
      </c>
      <c r="P43" s="16">
        <v>79.38438</v>
      </c>
      <c r="Q43" s="19">
        <v>43346</v>
      </c>
      <c r="R43" s="19">
        <v>43346</v>
      </c>
      <c r="S43" s="16">
        <f>79.38438+111.38342+61.78715</f>
        <v>252.55495</v>
      </c>
      <c r="T43" s="16">
        <v>4.24095</v>
      </c>
      <c r="U43" s="16">
        <f>3.11487+0.97066</f>
        <v>4.085529999999999</v>
      </c>
      <c r="V43" s="16">
        <v>0.85</v>
      </c>
      <c r="W43" s="16">
        <v>0.85</v>
      </c>
      <c r="X43" s="21">
        <f t="shared" si="1"/>
        <v>268.88548</v>
      </c>
      <c r="Y43" s="86" t="s">
        <v>312</v>
      </c>
      <c r="Z43" s="88" t="s">
        <v>347</v>
      </c>
      <c r="AH43" s="4"/>
    </row>
    <row r="44" spans="1:34" ht="83.25" customHeight="1">
      <c r="A44" s="5">
        <v>38</v>
      </c>
      <c r="B44" s="126" t="s">
        <v>105</v>
      </c>
      <c r="C44" s="126" t="s">
        <v>106</v>
      </c>
      <c r="D44" s="126" t="s">
        <v>106</v>
      </c>
      <c r="E44" s="126" t="s">
        <v>106</v>
      </c>
      <c r="F44" s="77" t="s">
        <v>275</v>
      </c>
      <c r="G44" s="24" t="s">
        <v>288</v>
      </c>
      <c r="H44" s="14">
        <v>192.569</v>
      </c>
      <c r="I44" s="14">
        <v>177.161</v>
      </c>
      <c r="J44" s="1">
        <v>7.597</v>
      </c>
      <c r="K44" s="16">
        <v>2.2791</v>
      </c>
      <c r="L44" s="19">
        <v>43273</v>
      </c>
      <c r="M44" s="19">
        <v>43264</v>
      </c>
      <c r="N44" s="16">
        <v>7.597</v>
      </c>
      <c r="O44" s="16">
        <f>176.6102-10.31549</f>
        <v>166.29470999999998</v>
      </c>
      <c r="P44" s="16">
        <v>52.98306</v>
      </c>
      <c r="Q44" s="19">
        <v>43315</v>
      </c>
      <c r="R44" s="19" t="s">
        <v>172</v>
      </c>
      <c r="S44" s="16">
        <f>52.98306+68.98414+44.32751</f>
        <v>166.29470999999998</v>
      </c>
      <c r="T44" s="16">
        <f>2.82765-0.13519</f>
        <v>2.69246</v>
      </c>
      <c r="U44" s="16">
        <f>1.99142+0.70104</f>
        <v>2.69246</v>
      </c>
      <c r="V44" s="16">
        <v>0.575</v>
      </c>
      <c r="W44" s="16">
        <v>0.575</v>
      </c>
      <c r="X44" s="21">
        <f t="shared" si="1"/>
        <v>177.15917</v>
      </c>
      <c r="Y44" s="86" t="s">
        <v>313</v>
      </c>
      <c r="Z44" s="88" t="s">
        <v>347</v>
      </c>
      <c r="AA44" s="2" t="s">
        <v>194</v>
      </c>
      <c r="AH44" s="4"/>
    </row>
    <row r="45" spans="1:34" ht="83.25" customHeight="1">
      <c r="A45" s="5">
        <v>39</v>
      </c>
      <c r="B45" s="126" t="s">
        <v>107</v>
      </c>
      <c r="C45" s="126" t="s">
        <v>108</v>
      </c>
      <c r="D45" s="126" t="s">
        <v>108</v>
      </c>
      <c r="E45" s="126" t="s">
        <v>108</v>
      </c>
      <c r="F45" s="77" t="s">
        <v>275</v>
      </c>
      <c r="G45" s="8" t="s">
        <v>268</v>
      </c>
      <c r="H45" s="14">
        <v>833.828</v>
      </c>
      <c r="I45" s="14">
        <v>833.828</v>
      </c>
      <c r="J45" s="1">
        <f>35.3688-2.4048</f>
        <v>32.964</v>
      </c>
      <c r="K45" s="16">
        <v>10.61064</v>
      </c>
      <c r="L45" s="19">
        <v>43316</v>
      </c>
      <c r="M45" s="19">
        <v>43314</v>
      </c>
      <c r="N45" s="16">
        <f>10.61064+22.35336</f>
        <v>32.964</v>
      </c>
      <c r="O45" s="16">
        <v>514.37232</v>
      </c>
      <c r="P45" s="16">
        <v>514.37232</v>
      </c>
      <c r="Q45" s="19">
        <v>43454</v>
      </c>
      <c r="R45" s="19">
        <v>43454</v>
      </c>
      <c r="S45" s="16">
        <v>514.37232</v>
      </c>
      <c r="T45" s="49">
        <v>11.8041</v>
      </c>
      <c r="U45" s="16">
        <v>8.37688</v>
      </c>
      <c r="V45" s="16">
        <v>1.7423</v>
      </c>
      <c r="W45" s="16">
        <v>1.7423</v>
      </c>
      <c r="X45" s="21">
        <f t="shared" si="1"/>
        <v>557.4555</v>
      </c>
      <c r="Y45" s="86" t="s">
        <v>307</v>
      </c>
      <c r="Z45" s="88" t="s">
        <v>347</v>
      </c>
      <c r="AH45" s="4"/>
    </row>
    <row r="46" spans="1:34" ht="83.25" customHeight="1">
      <c r="A46" s="5">
        <v>40</v>
      </c>
      <c r="B46" s="126" t="s">
        <v>109</v>
      </c>
      <c r="C46" s="126" t="s">
        <v>110</v>
      </c>
      <c r="D46" s="126" t="s">
        <v>110</v>
      </c>
      <c r="E46" s="126" t="s">
        <v>110</v>
      </c>
      <c r="F46" s="77" t="s">
        <v>275</v>
      </c>
      <c r="G46" s="18" t="s">
        <v>289</v>
      </c>
      <c r="H46" s="14">
        <v>137.76</v>
      </c>
      <c r="I46" s="14">
        <v>137.76</v>
      </c>
      <c r="J46" s="1">
        <v>5.432</v>
      </c>
      <c r="K46" s="16">
        <v>1.6296</v>
      </c>
      <c r="L46" s="19">
        <v>43273</v>
      </c>
      <c r="M46" s="19">
        <v>43264</v>
      </c>
      <c r="N46" s="16">
        <v>5.432</v>
      </c>
      <c r="O46" s="16">
        <f>126.3502-25.83105</f>
        <v>100.51915</v>
      </c>
      <c r="P46" s="16">
        <v>37.90506</v>
      </c>
      <c r="Q46" s="19">
        <v>43315</v>
      </c>
      <c r="R46" s="19">
        <v>43315</v>
      </c>
      <c r="S46" s="16">
        <f>37.90506+37.16676+25.44733</f>
        <v>100.51915</v>
      </c>
      <c r="T46" s="16">
        <f>2.02125-0.39565</f>
        <v>1.6256000000000002</v>
      </c>
      <c r="U46" s="16">
        <f>1.22319+0.40241</f>
        <v>1.6256</v>
      </c>
      <c r="V46" s="16">
        <v>0.411</v>
      </c>
      <c r="W46" s="16">
        <v>0.411</v>
      </c>
      <c r="X46" s="21">
        <f t="shared" si="1"/>
        <v>107.98774999999999</v>
      </c>
      <c r="Y46" s="86" t="s">
        <v>307</v>
      </c>
      <c r="Z46" s="88" t="s">
        <v>347</v>
      </c>
      <c r="AH46" s="4"/>
    </row>
    <row r="47" spans="1:34" ht="83.25" customHeight="1">
      <c r="A47" s="5">
        <v>41</v>
      </c>
      <c r="B47" s="126" t="s">
        <v>111</v>
      </c>
      <c r="C47" s="126" t="s">
        <v>112</v>
      </c>
      <c r="D47" s="126" t="s">
        <v>112</v>
      </c>
      <c r="E47" s="126" t="s">
        <v>112</v>
      </c>
      <c r="F47" s="77" t="s">
        <v>275</v>
      </c>
      <c r="G47" s="18" t="s">
        <v>160</v>
      </c>
      <c r="H47" s="14">
        <v>296.574</v>
      </c>
      <c r="I47" s="14">
        <v>269.372</v>
      </c>
      <c r="J47" s="1">
        <v>11.509</v>
      </c>
      <c r="K47" s="16">
        <v>3.4527</v>
      </c>
      <c r="L47" s="19">
        <v>43273</v>
      </c>
      <c r="M47" s="19">
        <v>43264</v>
      </c>
      <c r="N47" s="16">
        <v>11.509</v>
      </c>
      <c r="O47" s="16">
        <f>268.2206-15.35743</f>
        <v>252.86317</v>
      </c>
      <c r="P47" s="16">
        <v>80.46618</v>
      </c>
      <c r="Q47" s="19">
        <v>43315</v>
      </c>
      <c r="R47" s="19">
        <v>43315</v>
      </c>
      <c r="S47" s="16">
        <f>80.46618+107.32358+65.07341</f>
        <v>252.86317</v>
      </c>
      <c r="T47" s="16">
        <f>4.28295-0.19292</f>
        <v>4.09003</v>
      </c>
      <c r="U47" s="16">
        <f>3.0676+1.02243</f>
        <v>4.0900300000000005</v>
      </c>
      <c r="V47" s="16">
        <v>0.908</v>
      </c>
      <c r="W47" s="16">
        <v>0.908</v>
      </c>
      <c r="X47" s="21">
        <f t="shared" si="1"/>
        <v>269.3702</v>
      </c>
      <c r="Y47" s="86" t="s">
        <v>307</v>
      </c>
      <c r="Z47" s="88" t="s">
        <v>347</v>
      </c>
      <c r="AH47" s="4"/>
    </row>
    <row r="48" spans="1:34" ht="83.25" customHeight="1">
      <c r="A48" s="5">
        <v>42</v>
      </c>
      <c r="B48" s="126" t="s">
        <v>113</v>
      </c>
      <c r="C48" s="126" t="s">
        <v>114</v>
      </c>
      <c r="D48" s="126" t="s">
        <v>114</v>
      </c>
      <c r="E48" s="126" t="s">
        <v>114</v>
      </c>
      <c r="F48" s="77" t="s">
        <v>275</v>
      </c>
      <c r="G48" s="26" t="s">
        <v>268</v>
      </c>
      <c r="H48" s="14">
        <v>758.075</v>
      </c>
      <c r="I48" s="14">
        <v>758.075</v>
      </c>
      <c r="J48" s="1">
        <f>32.3334-3.9344</f>
        <v>28.398999999999997</v>
      </c>
      <c r="K48" s="16">
        <v>9.70002</v>
      </c>
      <c r="L48" s="19">
        <v>43316</v>
      </c>
      <c r="M48" s="19">
        <v>43314</v>
      </c>
      <c r="N48" s="16">
        <f>9.70002+18.69898</f>
        <v>28.399</v>
      </c>
      <c r="O48" s="16">
        <v>441.08232</v>
      </c>
      <c r="P48" s="16">
        <v>441.08232</v>
      </c>
      <c r="Q48" s="19">
        <v>43454</v>
      </c>
      <c r="R48" s="19">
        <v>43453</v>
      </c>
      <c r="S48" s="16">
        <v>441.08232</v>
      </c>
      <c r="T48" s="49">
        <v>10.04535</v>
      </c>
      <c r="U48" s="16">
        <v>7.11642</v>
      </c>
      <c r="V48" s="16">
        <v>1.5757</v>
      </c>
      <c r="W48" s="16">
        <v>1.5757</v>
      </c>
      <c r="X48" s="21">
        <f t="shared" si="1"/>
        <v>478.17343999999997</v>
      </c>
      <c r="Y48" s="86" t="s">
        <v>307</v>
      </c>
      <c r="Z48" s="88" t="s">
        <v>347</v>
      </c>
      <c r="AH48" s="4"/>
    </row>
    <row r="49" spans="1:34" ht="83.25" customHeight="1">
      <c r="A49" s="5">
        <v>43</v>
      </c>
      <c r="B49" s="126" t="s">
        <v>115</v>
      </c>
      <c r="C49" s="126" t="s">
        <v>116</v>
      </c>
      <c r="D49" s="126" t="s">
        <v>116</v>
      </c>
      <c r="E49" s="126" t="s">
        <v>116</v>
      </c>
      <c r="F49" s="77" t="s">
        <v>275</v>
      </c>
      <c r="G49" s="18" t="s">
        <v>279</v>
      </c>
      <c r="H49" s="14">
        <v>292.496</v>
      </c>
      <c r="I49" s="14">
        <v>265.775</v>
      </c>
      <c r="J49" s="1">
        <v>11.543</v>
      </c>
      <c r="K49" s="16">
        <v>3.4629</v>
      </c>
      <c r="L49" s="19">
        <v>43273</v>
      </c>
      <c r="M49" s="19">
        <v>43264</v>
      </c>
      <c r="N49" s="16">
        <v>11.543</v>
      </c>
      <c r="O49" s="16">
        <f>268.2122-18.92294</f>
        <v>249.28925999999998</v>
      </c>
      <c r="P49" s="16">
        <v>80.46366</v>
      </c>
      <c r="Q49" s="19">
        <v>43315</v>
      </c>
      <c r="R49" s="19">
        <v>43315</v>
      </c>
      <c r="S49" s="16">
        <f>80.46366+103.75219+65.07341</f>
        <v>249.28925999999998</v>
      </c>
      <c r="T49" s="16">
        <f>4.29555-0.26406</f>
        <v>4.031490000000001</v>
      </c>
      <c r="U49" s="16">
        <f>3.00906+1.02243</f>
        <v>4.03149</v>
      </c>
      <c r="V49" s="16">
        <v>0.91</v>
      </c>
      <c r="W49" s="16">
        <v>0.91</v>
      </c>
      <c r="X49" s="21">
        <f t="shared" si="1"/>
        <v>265.77374999999995</v>
      </c>
      <c r="Y49" s="86" t="s">
        <v>307</v>
      </c>
      <c r="Z49" s="88" t="s">
        <v>347</v>
      </c>
      <c r="AH49" s="4"/>
    </row>
    <row r="50" spans="1:34" ht="83.25" customHeight="1">
      <c r="A50" s="5">
        <v>44</v>
      </c>
      <c r="B50" s="146" t="s">
        <v>117</v>
      </c>
      <c r="C50" s="146" t="s">
        <v>118</v>
      </c>
      <c r="D50" s="146" t="s">
        <v>118</v>
      </c>
      <c r="E50" s="146" t="s">
        <v>118</v>
      </c>
      <c r="F50" s="77" t="s">
        <v>275</v>
      </c>
      <c r="G50" s="30" t="s">
        <v>268</v>
      </c>
      <c r="H50" s="14">
        <v>446.567</v>
      </c>
      <c r="I50" s="14">
        <v>446.567</v>
      </c>
      <c r="J50" s="1">
        <f>19.8714-2.1964</f>
        <v>17.675</v>
      </c>
      <c r="K50" s="16">
        <v>5.96142</v>
      </c>
      <c r="L50" s="19">
        <v>43274</v>
      </c>
      <c r="M50" s="19">
        <v>43274</v>
      </c>
      <c r="N50" s="16">
        <f>5.96142+11.71358</f>
        <v>17.675</v>
      </c>
      <c r="O50" s="16">
        <v>268.49984</v>
      </c>
      <c r="P50" s="16">
        <v>268.49984</v>
      </c>
      <c r="Q50" s="19">
        <v>43454</v>
      </c>
      <c r="R50" s="19">
        <v>43454</v>
      </c>
      <c r="S50" s="16">
        <v>268.49984</v>
      </c>
      <c r="T50" s="49">
        <v>6.12045</v>
      </c>
      <c r="U50" s="16">
        <v>4.40239</v>
      </c>
      <c r="V50" s="16">
        <v>0.9275</v>
      </c>
      <c r="W50" s="16">
        <v>0.9275</v>
      </c>
      <c r="X50" s="21">
        <f t="shared" si="1"/>
        <v>291.50473</v>
      </c>
      <c r="Y50" s="86" t="s">
        <v>314</v>
      </c>
      <c r="Z50" s="88" t="s">
        <v>347</v>
      </c>
      <c r="AH50" s="4"/>
    </row>
    <row r="51" spans="1:34" ht="91.5" customHeight="1">
      <c r="A51" s="5">
        <v>45</v>
      </c>
      <c r="B51" s="126" t="s">
        <v>119</v>
      </c>
      <c r="C51" s="126" t="s">
        <v>120</v>
      </c>
      <c r="D51" s="126" t="s">
        <v>120</v>
      </c>
      <c r="E51" s="126" t="s">
        <v>120</v>
      </c>
      <c r="F51" s="77" t="s">
        <v>275</v>
      </c>
      <c r="G51" s="31" t="s">
        <v>290</v>
      </c>
      <c r="H51" s="14">
        <v>476.213</v>
      </c>
      <c r="I51" s="14">
        <v>476.213</v>
      </c>
      <c r="J51" s="1">
        <v>21.0986</v>
      </c>
      <c r="K51" s="16">
        <v>6.32958</v>
      </c>
      <c r="L51" s="19">
        <v>43274</v>
      </c>
      <c r="M51" s="19">
        <v>43274</v>
      </c>
      <c r="N51" s="16">
        <v>21.0986</v>
      </c>
      <c r="O51" s="16">
        <v>397.6004</v>
      </c>
      <c r="P51" s="16">
        <v>119.28012</v>
      </c>
      <c r="Q51" s="19">
        <v>43416</v>
      </c>
      <c r="R51" s="19">
        <v>43411</v>
      </c>
      <c r="S51" s="16">
        <f>119.28012+198.80184+79.51844</f>
        <v>397.6004</v>
      </c>
      <c r="T51" s="16">
        <v>6.46485</v>
      </c>
      <c r="U51" s="16">
        <f>5.19279+1.27206</f>
        <v>6.464849999999999</v>
      </c>
      <c r="V51" s="16">
        <v>1.415</v>
      </c>
      <c r="W51" s="16">
        <v>1.415</v>
      </c>
      <c r="X51" s="21">
        <f t="shared" si="1"/>
        <v>426.57884999999993</v>
      </c>
      <c r="Y51" s="86" t="s">
        <v>315</v>
      </c>
      <c r="Z51" s="88" t="s">
        <v>347</v>
      </c>
      <c r="AH51" s="4"/>
    </row>
    <row r="52" spans="1:34" ht="91.5" customHeight="1">
      <c r="A52" s="5">
        <v>46</v>
      </c>
      <c r="B52" s="126" t="s">
        <v>121</v>
      </c>
      <c r="C52" s="126" t="s">
        <v>122</v>
      </c>
      <c r="D52" s="126" t="s">
        <v>122</v>
      </c>
      <c r="E52" s="126" t="s">
        <v>122</v>
      </c>
      <c r="F52" s="79" t="s">
        <v>275</v>
      </c>
      <c r="G52" s="31" t="s">
        <v>290</v>
      </c>
      <c r="H52" s="14">
        <v>475.411</v>
      </c>
      <c r="I52" s="14">
        <v>475.411</v>
      </c>
      <c r="J52" s="1">
        <v>21.0664</v>
      </c>
      <c r="K52" s="16">
        <v>6.31992</v>
      </c>
      <c r="L52" s="19">
        <v>43274</v>
      </c>
      <c r="M52" s="19">
        <v>43274</v>
      </c>
      <c r="N52" s="1">
        <v>21.0664</v>
      </c>
      <c r="O52" s="16">
        <v>398.1068</v>
      </c>
      <c r="P52" s="16">
        <v>119.43204</v>
      </c>
      <c r="Q52" s="19">
        <v>43416</v>
      </c>
      <c r="R52" s="19">
        <v>43411</v>
      </c>
      <c r="S52" s="16">
        <f>119.43204+192.14248+71.74771</f>
        <v>383.32223</v>
      </c>
      <c r="T52" s="16">
        <v>6.4533</v>
      </c>
      <c r="U52" s="16">
        <f>5.08671+1.36659</f>
        <v>6.4533000000000005</v>
      </c>
      <c r="V52" s="16">
        <v>1.413</v>
      </c>
      <c r="W52" s="16">
        <v>1.413</v>
      </c>
      <c r="X52" s="21">
        <f t="shared" si="1"/>
        <v>412.25493</v>
      </c>
      <c r="Y52" s="86" t="s">
        <v>315</v>
      </c>
      <c r="Z52" s="88" t="s">
        <v>347</v>
      </c>
      <c r="AH52" s="4"/>
    </row>
    <row r="53" spans="1:34" ht="91.5" customHeight="1">
      <c r="A53" s="5">
        <v>47</v>
      </c>
      <c r="B53" s="126" t="s">
        <v>123</v>
      </c>
      <c r="C53" s="126" t="s">
        <v>124</v>
      </c>
      <c r="D53" s="126" t="s">
        <v>124</v>
      </c>
      <c r="E53" s="127" t="s">
        <v>124</v>
      </c>
      <c r="F53" s="79" t="s">
        <v>275</v>
      </c>
      <c r="G53" s="31" t="s">
        <v>290</v>
      </c>
      <c r="H53" s="14">
        <v>482.836</v>
      </c>
      <c r="I53" s="14">
        <v>482.836</v>
      </c>
      <c r="J53" s="1">
        <v>21.371</v>
      </c>
      <c r="K53" s="16">
        <v>6.4113</v>
      </c>
      <c r="L53" s="19">
        <v>43274</v>
      </c>
      <c r="M53" s="19">
        <v>43274</v>
      </c>
      <c r="N53" s="1">
        <v>21.371</v>
      </c>
      <c r="O53" s="16">
        <v>394.50092</v>
      </c>
      <c r="P53" s="16">
        <v>121.43796</v>
      </c>
      <c r="Q53" s="19">
        <v>43416</v>
      </c>
      <c r="R53" s="19">
        <v>43411</v>
      </c>
      <c r="S53" s="16">
        <f>121.43796+197.20332+23.76859+52.09105</f>
        <v>394.50092</v>
      </c>
      <c r="T53" s="16">
        <v>6.56145</v>
      </c>
      <c r="U53" s="16">
        <f>5.20218+1.35927</f>
        <v>6.561450000000001</v>
      </c>
      <c r="V53" s="16">
        <v>1.435</v>
      </c>
      <c r="W53" s="16">
        <v>1.435</v>
      </c>
      <c r="X53" s="21">
        <f t="shared" si="1"/>
        <v>423.86836999999997</v>
      </c>
      <c r="Y53" s="86" t="s">
        <v>315</v>
      </c>
      <c r="Z53" s="88" t="s">
        <v>347</v>
      </c>
      <c r="AH53" s="4"/>
    </row>
    <row r="54" spans="1:34" ht="83.25" customHeight="1">
      <c r="A54" s="5">
        <v>48</v>
      </c>
      <c r="B54" s="126" t="s">
        <v>125</v>
      </c>
      <c r="C54" s="126" t="s">
        <v>126</v>
      </c>
      <c r="D54" s="126" t="s">
        <v>126</v>
      </c>
      <c r="E54" s="126" t="s">
        <v>126</v>
      </c>
      <c r="F54" s="77" t="s">
        <v>275</v>
      </c>
      <c r="G54" s="28" t="s">
        <v>291</v>
      </c>
      <c r="H54" s="14">
        <v>240.578</v>
      </c>
      <c r="I54" s="14">
        <v>219.078</v>
      </c>
      <c r="J54" s="1">
        <v>9.5</v>
      </c>
      <c r="K54" s="16">
        <v>2.85</v>
      </c>
      <c r="L54" s="19">
        <v>43273</v>
      </c>
      <c r="M54" s="19">
        <v>43264</v>
      </c>
      <c r="N54" s="16">
        <v>9.5</v>
      </c>
      <c r="O54" s="16">
        <f>220.6236-15.08111</f>
        <v>205.54249000000002</v>
      </c>
      <c r="P54" s="16">
        <v>66.18708</v>
      </c>
      <c r="Q54" s="19">
        <v>43315</v>
      </c>
      <c r="R54" s="19">
        <v>43315</v>
      </c>
      <c r="S54" s="16">
        <f>66.18708+99.2765+40.07891</f>
        <v>205.54249</v>
      </c>
      <c r="T54" s="16">
        <f>3.53535-0.20178</f>
        <v>3.3335700000000004</v>
      </c>
      <c r="U54" s="16">
        <v>3.33357</v>
      </c>
      <c r="V54" s="16">
        <v>0.718</v>
      </c>
      <c r="W54" s="16">
        <v>0.718</v>
      </c>
      <c r="X54" s="21">
        <f t="shared" si="1"/>
        <v>219.09405999999998</v>
      </c>
      <c r="Y54" s="86" t="s">
        <v>316</v>
      </c>
      <c r="Z54" s="88" t="s">
        <v>347</v>
      </c>
      <c r="AH54" s="4"/>
    </row>
    <row r="55" spans="1:34" ht="83.25" customHeight="1">
      <c r="A55" s="5">
        <v>49</v>
      </c>
      <c r="B55" s="126" t="s">
        <v>127</v>
      </c>
      <c r="C55" s="126" t="s">
        <v>128</v>
      </c>
      <c r="D55" s="126" t="s">
        <v>128</v>
      </c>
      <c r="E55" s="126" t="s">
        <v>128</v>
      </c>
      <c r="F55" s="77" t="s">
        <v>275</v>
      </c>
      <c r="G55" s="18" t="s">
        <v>291</v>
      </c>
      <c r="H55" s="14">
        <v>241.044</v>
      </c>
      <c r="I55" s="14">
        <v>218.033</v>
      </c>
      <c r="J55" s="1">
        <v>9.518</v>
      </c>
      <c r="K55" s="16">
        <v>2.8554</v>
      </c>
      <c r="L55" s="19">
        <v>43273</v>
      </c>
      <c r="M55" s="19">
        <v>43264</v>
      </c>
      <c r="N55" s="16">
        <v>9.518</v>
      </c>
      <c r="O55" s="16">
        <f>221.0512-16.57374</f>
        <v>204.47746</v>
      </c>
      <c r="P55" s="16">
        <v>66.31536</v>
      </c>
      <c r="Q55" s="19">
        <v>43315</v>
      </c>
      <c r="R55" s="19">
        <v>43315</v>
      </c>
      <c r="S55" s="16">
        <f>66.31536+98.08319+40.07891</f>
        <v>204.47746</v>
      </c>
      <c r="T55" s="16">
        <f>3.5427-0.22686</f>
        <v>3.31584</v>
      </c>
      <c r="U55" s="16">
        <f>2.68358+0.63226</f>
        <v>3.31584</v>
      </c>
      <c r="V55" s="16">
        <v>0.72</v>
      </c>
      <c r="W55" s="16">
        <v>0.72</v>
      </c>
      <c r="X55" s="21">
        <f t="shared" si="1"/>
        <v>218.03130000000002</v>
      </c>
      <c r="Y55" s="86" t="s">
        <v>316</v>
      </c>
      <c r="Z55" s="88" t="s">
        <v>347</v>
      </c>
      <c r="AH55" s="4"/>
    </row>
    <row r="56" spans="1:34" ht="83.25" customHeight="1">
      <c r="A56" s="5">
        <v>50</v>
      </c>
      <c r="B56" s="126" t="s">
        <v>129</v>
      </c>
      <c r="C56" s="126" t="s">
        <v>130</v>
      </c>
      <c r="D56" s="126" t="s">
        <v>130</v>
      </c>
      <c r="E56" s="126" t="s">
        <v>130</v>
      </c>
      <c r="F56" s="77" t="s">
        <v>275</v>
      </c>
      <c r="G56" s="18" t="s">
        <v>279</v>
      </c>
      <c r="H56" s="14">
        <v>240.274</v>
      </c>
      <c r="I56" s="14">
        <v>217.004</v>
      </c>
      <c r="J56" s="1">
        <v>9.486</v>
      </c>
      <c r="K56" s="16">
        <v>2.8458</v>
      </c>
      <c r="L56" s="19">
        <v>43273</v>
      </c>
      <c r="M56" s="19">
        <v>43264</v>
      </c>
      <c r="N56" s="16">
        <v>9.486</v>
      </c>
      <c r="O56" s="16">
        <f>220.3244-16.84718</f>
        <v>203.47722</v>
      </c>
      <c r="P56" s="16">
        <v>66.09732</v>
      </c>
      <c r="Q56" s="19">
        <v>43315</v>
      </c>
      <c r="R56" s="19">
        <v>43315</v>
      </c>
      <c r="S56" s="16">
        <f>66.09732+98.30123+39.07867</f>
        <v>203.47722</v>
      </c>
      <c r="T56" s="16">
        <f>3.5301-0.23012</f>
        <v>3.29998</v>
      </c>
      <c r="U56" s="16">
        <f>2.68358+0.6164</f>
        <v>3.29998</v>
      </c>
      <c r="V56" s="16">
        <v>0.74</v>
      </c>
      <c r="W56" s="16">
        <v>0.74</v>
      </c>
      <c r="X56" s="21">
        <f t="shared" si="1"/>
        <v>217.0032</v>
      </c>
      <c r="Y56" s="86" t="s">
        <v>316</v>
      </c>
      <c r="Z56" s="88" t="s">
        <v>347</v>
      </c>
      <c r="AH56" s="4"/>
    </row>
    <row r="57" spans="1:34" ht="83.25" customHeight="1">
      <c r="A57" s="5">
        <v>51</v>
      </c>
      <c r="B57" s="126" t="s">
        <v>131</v>
      </c>
      <c r="C57" s="126" t="s">
        <v>132</v>
      </c>
      <c r="D57" s="126" t="s">
        <v>132</v>
      </c>
      <c r="E57" s="126" t="s">
        <v>132</v>
      </c>
      <c r="F57" s="77" t="s">
        <v>275</v>
      </c>
      <c r="G57" s="18" t="s">
        <v>268</v>
      </c>
      <c r="H57" s="14">
        <v>479.2</v>
      </c>
      <c r="I57" s="14">
        <v>479.2</v>
      </c>
      <c r="J57" s="1">
        <f>20.555-1.917</f>
        <v>18.637999999999998</v>
      </c>
      <c r="K57" s="16">
        <v>6.1665</v>
      </c>
      <c r="L57" s="19">
        <v>43258</v>
      </c>
      <c r="M57" s="19">
        <v>43255</v>
      </c>
      <c r="N57" s="16">
        <f>6.1665+12.4715</f>
        <v>18.638</v>
      </c>
      <c r="O57" s="16">
        <v>283.9459</v>
      </c>
      <c r="P57" s="16">
        <v>283.9459</v>
      </c>
      <c r="Q57" s="19">
        <v>43454</v>
      </c>
      <c r="R57" s="19">
        <v>43454</v>
      </c>
      <c r="S57" s="16">
        <v>283.9459</v>
      </c>
      <c r="T57" s="49">
        <v>6.4785</v>
      </c>
      <c r="U57" s="16">
        <v>4.65586</v>
      </c>
      <c r="V57" s="16">
        <v>0.9919</v>
      </c>
      <c r="W57" s="16">
        <v>0.9919</v>
      </c>
      <c r="X57" s="21">
        <f t="shared" si="1"/>
        <v>308.23166</v>
      </c>
      <c r="Y57" s="86" t="s">
        <v>323</v>
      </c>
      <c r="Z57" s="88" t="s">
        <v>347</v>
      </c>
      <c r="AH57" s="4"/>
    </row>
    <row r="58" spans="1:34" ht="81" customHeight="1">
      <c r="A58" s="5">
        <v>52</v>
      </c>
      <c r="B58" s="126" t="s">
        <v>133</v>
      </c>
      <c r="C58" s="126" t="s">
        <v>134</v>
      </c>
      <c r="D58" s="126" t="s">
        <v>134</v>
      </c>
      <c r="E58" s="126" t="s">
        <v>134</v>
      </c>
      <c r="F58" s="77" t="s">
        <v>275</v>
      </c>
      <c r="G58" s="18" t="s">
        <v>292</v>
      </c>
      <c r="H58" s="14">
        <v>246.298</v>
      </c>
      <c r="I58" s="14">
        <v>232.134</v>
      </c>
      <c r="J58" s="1">
        <v>9.732</v>
      </c>
      <c r="K58" s="16">
        <v>2.9196</v>
      </c>
      <c r="L58" s="19">
        <v>43273</v>
      </c>
      <c r="M58" s="19">
        <v>43264</v>
      </c>
      <c r="N58" s="16">
        <v>9.732</v>
      </c>
      <c r="O58" s="16">
        <v>225.8556</v>
      </c>
      <c r="P58" s="16">
        <v>67.75668</v>
      </c>
      <c r="Q58" s="19">
        <v>43271</v>
      </c>
      <c r="R58" s="19">
        <v>43301</v>
      </c>
      <c r="S58" s="16">
        <f>67.75668+138.71322+11.65724</f>
        <v>218.12714</v>
      </c>
      <c r="T58" s="16">
        <f>3.6225-0.08526</f>
        <v>3.53724</v>
      </c>
      <c r="U58" s="16">
        <v>3.53724</v>
      </c>
      <c r="V58" s="21">
        <v>0.736</v>
      </c>
      <c r="W58" s="21">
        <v>0.736</v>
      </c>
      <c r="X58" s="21">
        <f t="shared" si="1"/>
        <v>232.13237999999998</v>
      </c>
      <c r="Y58" s="86" t="s">
        <v>317</v>
      </c>
      <c r="Z58" s="88" t="s">
        <v>347</v>
      </c>
      <c r="AH58" s="4"/>
    </row>
    <row r="59" spans="1:34" ht="83.25" customHeight="1">
      <c r="A59" s="5">
        <v>53</v>
      </c>
      <c r="B59" s="126" t="s">
        <v>135</v>
      </c>
      <c r="C59" s="126" t="s">
        <v>136</v>
      </c>
      <c r="D59" s="126" t="s">
        <v>136</v>
      </c>
      <c r="E59" s="126" t="s">
        <v>136</v>
      </c>
      <c r="F59" s="77" t="s">
        <v>275</v>
      </c>
      <c r="G59" s="26" t="s">
        <v>276</v>
      </c>
      <c r="H59" s="14">
        <v>700.656</v>
      </c>
      <c r="I59" s="14">
        <v>700.656</v>
      </c>
      <c r="J59" s="1">
        <f>30.1146-3.2796</f>
        <v>26.835</v>
      </c>
      <c r="K59" s="16">
        <v>9.03438</v>
      </c>
      <c r="L59" s="19">
        <v>43316</v>
      </c>
      <c r="M59" s="19">
        <v>43314</v>
      </c>
      <c r="N59" s="16">
        <f>9.03438+17.80062</f>
        <v>26.835</v>
      </c>
      <c r="O59" s="16">
        <v>416.5196</v>
      </c>
      <c r="P59" s="16">
        <v>416.5196</v>
      </c>
      <c r="Q59" s="19">
        <v>43454</v>
      </c>
      <c r="R59" s="19">
        <v>43453</v>
      </c>
      <c r="S59" s="16">
        <v>416.5196</v>
      </c>
      <c r="T59" s="49">
        <v>9.471</v>
      </c>
      <c r="U59" s="16">
        <v>6.72247</v>
      </c>
      <c r="V59" s="16">
        <v>1.4553</v>
      </c>
      <c r="W59" s="16">
        <v>1.4553</v>
      </c>
      <c r="X59" s="21">
        <f aca="true" t="shared" si="2" ref="X59:X65">W59+U59+S59+N59</f>
        <v>451.53237</v>
      </c>
      <c r="Y59" s="86" t="s">
        <v>317</v>
      </c>
      <c r="Z59" s="88" t="s">
        <v>347</v>
      </c>
      <c r="AH59" s="4"/>
    </row>
    <row r="60" spans="1:34" ht="83.25" customHeight="1">
      <c r="A60" s="5">
        <v>54</v>
      </c>
      <c r="B60" s="126" t="s">
        <v>137</v>
      </c>
      <c r="C60" s="126" t="s">
        <v>138</v>
      </c>
      <c r="D60" s="126" t="s">
        <v>138</v>
      </c>
      <c r="E60" s="126" t="s">
        <v>138</v>
      </c>
      <c r="F60" s="77" t="s">
        <v>275</v>
      </c>
      <c r="G60" s="17" t="s">
        <v>186</v>
      </c>
      <c r="H60" s="14">
        <v>298.84</v>
      </c>
      <c r="I60" s="14">
        <v>270.641</v>
      </c>
      <c r="J60" s="1">
        <v>11.8</v>
      </c>
      <c r="K60" s="16">
        <v>4.05096</v>
      </c>
      <c r="L60" s="19">
        <v>43265</v>
      </c>
      <c r="M60" s="19">
        <v>43263</v>
      </c>
      <c r="N60" s="16">
        <v>11.8</v>
      </c>
      <c r="O60" s="16">
        <f>274.0024-19.35805</f>
        <v>254.64435000000003</v>
      </c>
      <c r="P60" s="16">
        <v>82.20072</v>
      </c>
      <c r="Q60" s="19">
        <v>43346</v>
      </c>
      <c r="R60" s="19">
        <v>43346</v>
      </c>
      <c r="S60" s="16">
        <f>82.20072+115.96666+56.47697</f>
        <v>254.64435</v>
      </c>
      <c r="T60" s="16">
        <v>4.3911</v>
      </c>
      <c r="U60" s="16">
        <f>3.25119+0.88879</f>
        <v>4.1399799999999995</v>
      </c>
      <c r="V60" s="16">
        <v>0.944</v>
      </c>
      <c r="W60" s="16">
        <v>0.944</v>
      </c>
      <c r="X60" s="21">
        <f t="shared" si="2"/>
        <v>271.52833000000004</v>
      </c>
      <c r="Y60" s="86" t="s">
        <v>316</v>
      </c>
      <c r="Z60" s="88" t="s">
        <v>347</v>
      </c>
      <c r="AH60" s="4"/>
    </row>
    <row r="61" spans="1:34" ht="83.25" customHeight="1">
      <c r="A61" s="5">
        <v>55</v>
      </c>
      <c r="B61" s="126" t="s">
        <v>139</v>
      </c>
      <c r="C61" s="126" t="s">
        <v>140</v>
      </c>
      <c r="D61" s="126" t="s">
        <v>140</v>
      </c>
      <c r="E61" s="126" t="s">
        <v>140</v>
      </c>
      <c r="F61" s="77" t="s">
        <v>275</v>
      </c>
      <c r="G61" s="55" t="s">
        <v>293</v>
      </c>
      <c r="H61" s="14">
        <v>496.202</v>
      </c>
      <c r="I61" s="14">
        <v>496.202</v>
      </c>
      <c r="J61" s="1">
        <f>21.9198-2.7718</f>
        <v>19.148</v>
      </c>
      <c r="K61" s="16">
        <v>6.57594</v>
      </c>
      <c r="L61" s="19">
        <v>43274</v>
      </c>
      <c r="M61" s="19" t="s">
        <v>173</v>
      </c>
      <c r="N61" s="16">
        <f>6.57594+12.57206</f>
        <v>19.148</v>
      </c>
      <c r="O61" s="16">
        <v>333.21775</v>
      </c>
      <c r="P61" s="16">
        <f>291.4276+41.79599</f>
        <v>333.22359</v>
      </c>
      <c r="Q61" s="19">
        <v>43454</v>
      </c>
      <c r="R61" s="19">
        <v>43454</v>
      </c>
      <c r="S61" s="16">
        <f>291.42176+41.79599</f>
        <v>333.21775</v>
      </c>
      <c r="T61" s="49">
        <v>6.66855</v>
      </c>
      <c r="U61" s="16">
        <v>5.41575</v>
      </c>
      <c r="V61" s="16">
        <v>1.0325</v>
      </c>
      <c r="W61" s="16">
        <v>1.0325</v>
      </c>
      <c r="X61" s="21">
        <f t="shared" si="2"/>
        <v>358.814</v>
      </c>
      <c r="Y61" s="86" t="s">
        <v>316</v>
      </c>
      <c r="Z61" s="88" t="s">
        <v>347</v>
      </c>
      <c r="AH61" s="4"/>
    </row>
    <row r="62" spans="1:34" ht="83.25" customHeight="1">
      <c r="A62" s="5">
        <v>56</v>
      </c>
      <c r="B62" s="126" t="s">
        <v>141</v>
      </c>
      <c r="C62" s="126" t="s">
        <v>142</v>
      </c>
      <c r="D62" s="126" t="s">
        <v>142</v>
      </c>
      <c r="E62" s="126" t="s">
        <v>142</v>
      </c>
      <c r="F62" s="77" t="s">
        <v>275</v>
      </c>
      <c r="G62" s="47" t="s">
        <v>293</v>
      </c>
      <c r="H62" s="14">
        <v>808.808</v>
      </c>
      <c r="I62" s="14">
        <v>808.808</v>
      </c>
      <c r="J62" s="1">
        <f>34.2186-4.2486</f>
        <v>29.970000000000002</v>
      </c>
      <c r="K62" s="16">
        <v>10.26558</v>
      </c>
      <c r="L62" s="19">
        <v>43316</v>
      </c>
      <c r="M62" s="19">
        <v>43314</v>
      </c>
      <c r="N62" s="16">
        <f>10.26558+19.70442</f>
        <v>29.97</v>
      </c>
      <c r="O62" s="16">
        <f>468.6437-79.33222</f>
        <v>389.31148</v>
      </c>
      <c r="P62" s="16">
        <f>468.6437-79.33222</f>
        <v>389.31148</v>
      </c>
      <c r="Q62" s="19">
        <v>43454</v>
      </c>
      <c r="R62" s="19">
        <v>43452</v>
      </c>
      <c r="S62" s="16">
        <f>468.6437-79.33222</f>
        <v>389.31148</v>
      </c>
      <c r="T62" s="49">
        <v>10.63125</v>
      </c>
      <c r="U62" s="16">
        <v>6.28877</v>
      </c>
      <c r="V62" s="16">
        <v>1.6793</v>
      </c>
      <c r="W62" s="16"/>
      <c r="X62" s="21">
        <f t="shared" si="2"/>
        <v>425.57025</v>
      </c>
      <c r="Y62" s="86" t="s">
        <v>318</v>
      </c>
      <c r="Z62" s="88" t="s">
        <v>347</v>
      </c>
      <c r="AH62" s="4"/>
    </row>
    <row r="63" spans="1:34" ht="83.25" customHeight="1">
      <c r="A63" s="5">
        <v>57</v>
      </c>
      <c r="B63" s="126" t="s">
        <v>143</v>
      </c>
      <c r="C63" s="126" t="s">
        <v>144</v>
      </c>
      <c r="D63" s="126" t="s">
        <v>144</v>
      </c>
      <c r="E63" s="126" t="s">
        <v>144</v>
      </c>
      <c r="F63" s="77" t="s">
        <v>275</v>
      </c>
      <c r="G63" s="55" t="s">
        <v>293</v>
      </c>
      <c r="H63" s="14">
        <v>739.456</v>
      </c>
      <c r="I63" s="15">
        <v>739.456</v>
      </c>
      <c r="J63" s="1">
        <f>31.5892-4.0392</f>
        <v>27.55</v>
      </c>
      <c r="K63" s="16">
        <v>9.47676</v>
      </c>
      <c r="L63" s="19">
        <v>43316</v>
      </c>
      <c r="M63" s="19">
        <v>43314</v>
      </c>
      <c r="N63" s="16">
        <f>9.47676+18.07324</f>
        <v>27.549999999999997</v>
      </c>
      <c r="O63" s="16">
        <f>428.44732+44.83774</f>
        <v>473.28506</v>
      </c>
      <c r="P63" s="16">
        <v>428.44732</v>
      </c>
      <c r="Q63" s="19">
        <v>43454</v>
      </c>
      <c r="R63" s="19">
        <v>43454</v>
      </c>
      <c r="S63" s="16">
        <f>428.44732+44.83774</f>
        <v>473.28506</v>
      </c>
      <c r="T63" s="49">
        <v>9.71985</v>
      </c>
      <c r="U63" s="16">
        <v>7.63813</v>
      </c>
      <c r="V63" s="16">
        <v>1.5344</v>
      </c>
      <c r="W63" s="16">
        <v>1.5344</v>
      </c>
      <c r="X63" s="21">
        <f t="shared" si="2"/>
        <v>510.00759</v>
      </c>
      <c r="Y63" s="86" t="s">
        <v>318</v>
      </c>
      <c r="Z63" s="88" t="s">
        <v>347</v>
      </c>
      <c r="AH63" s="4"/>
    </row>
    <row r="64" spans="1:34" ht="83.25" customHeight="1">
      <c r="A64" s="5">
        <v>58</v>
      </c>
      <c r="B64" s="126" t="s">
        <v>145</v>
      </c>
      <c r="C64" s="126" t="s">
        <v>146</v>
      </c>
      <c r="D64" s="126" t="s">
        <v>146</v>
      </c>
      <c r="E64" s="126" t="s">
        <v>146</v>
      </c>
      <c r="F64" s="77" t="s">
        <v>275</v>
      </c>
      <c r="G64" s="24" t="s">
        <v>288</v>
      </c>
      <c r="H64" s="14">
        <v>246.34</v>
      </c>
      <c r="I64" s="15">
        <v>228.56</v>
      </c>
      <c r="J64" s="1">
        <v>9.734</v>
      </c>
      <c r="K64" s="16">
        <v>2.9202</v>
      </c>
      <c r="L64" s="19">
        <v>43273</v>
      </c>
      <c r="M64" s="19">
        <v>43263</v>
      </c>
      <c r="N64" s="16">
        <v>9.734</v>
      </c>
      <c r="O64" s="16">
        <f>225.8944-11.28563</f>
        <v>214.60877</v>
      </c>
      <c r="P64" s="16">
        <v>67.76832</v>
      </c>
      <c r="Q64" s="19">
        <v>43315</v>
      </c>
      <c r="R64" s="19">
        <v>43315</v>
      </c>
      <c r="S64" s="16">
        <f>67.76832+146.84045</f>
        <v>214.60877</v>
      </c>
      <c r="T64" s="16">
        <f>3.6225-0.14284</f>
        <v>3.47966</v>
      </c>
      <c r="U64" s="16">
        <v>3.47966</v>
      </c>
      <c r="V64" s="16">
        <v>0.736</v>
      </c>
      <c r="W64" s="16">
        <v>0.736</v>
      </c>
      <c r="X64" s="21">
        <f t="shared" si="2"/>
        <v>228.55843000000002</v>
      </c>
      <c r="Y64" s="86" t="s">
        <v>317</v>
      </c>
      <c r="Z64" s="88" t="s">
        <v>347</v>
      </c>
      <c r="AH64" s="4"/>
    </row>
    <row r="65" spans="1:34" ht="83.25" customHeight="1">
      <c r="A65" s="5">
        <v>59</v>
      </c>
      <c r="B65" s="126" t="s">
        <v>147</v>
      </c>
      <c r="C65" s="126" t="s">
        <v>148</v>
      </c>
      <c r="D65" s="126" t="s">
        <v>148</v>
      </c>
      <c r="E65" s="126" t="s">
        <v>148</v>
      </c>
      <c r="F65" s="77" t="s">
        <v>275</v>
      </c>
      <c r="G65" s="24" t="s">
        <v>288</v>
      </c>
      <c r="H65" s="14">
        <v>247.315</v>
      </c>
      <c r="I65" s="14">
        <v>229.132</v>
      </c>
      <c r="J65" s="1">
        <v>9.771</v>
      </c>
      <c r="K65" s="16">
        <v>2.9313</v>
      </c>
      <c r="L65" s="19">
        <v>43273</v>
      </c>
      <c r="M65" s="19">
        <v>43263</v>
      </c>
      <c r="N65" s="16">
        <v>9.771</v>
      </c>
      <c r="O65" s="16">
        <f>226.791-11.6582</f>
        <v>215.1328</v>
      </c>
      <c r="P65" s="16">
        <v>68.0373</v>
      </c>
      <c r="Q65" s="19">
        <v>43315</v>
      </c>
      <c r="R65" s="19">
        <v>43315</v>
      </c>
      <c r="S65" s="16">
        <f>68.0373+147.0955</f>
        <v>215.13279999999997</v>
      </c>
      <c r="T65" s="16">
        <f>3.63615-0.14853</f>
        <v>3.48762</v>
      </c>
      <c r="U65" s="16">
        <v>3.48762</v>
      </c>
      <c r="V65" s="16">
        <v>0.739</v>
      </c>
      <c r="W65" s="16">
        <v>0.739</v>
      </c>
      <c r="X65" s="21">
        <f t="shared" si="2"/>
        <v>229.13041999999996</v>
      </c>
      <c r="Y65" s="86" t="s">
        <v>317</v>
      </c>
      <c r="Z65" s="88" t="s">
        <v>347</v>
      </c>
      <c r="AH65" s="4"/>
    </row>
    <row r="66" spans="1:34" ht="80.25" customHeight="1">
      <c r="A66" s="5">
        <v>60</v>
      </c>
      <c r="B66" s="126" t="s">
        <v>149</v>
      </c>
      <c r="C66" s="126" t="s">
        <v>150</v>
      </c>
      <c r="D66" s="126" t="s">
        <v>150</v>
      </c>
      <c r="E66" s="126" t="s">
        <v>150</v>
      </c>
      <c r="F66" s="77" t="s">
        <v>275</v>
      </c>
      <c r="G66" s="47" t="s">
        <v>294</v>
      </c>
      <c r="H66" s="14">
        <v>298.644</v>
      </c>
      <c r="I66" s="14">
        <v>298.644</v>
      </c>
      <c r="J66" s="1">
        <v>11.806</v>
      </c>
      <c r="K66" s="16">
        <v>3.5418</v>
      </c>
      <c r="L66" s="19">
        <v>43343</v>
      </c>
      <c r="M66" s="19">
        <v>43319</v>
      </c>
      <c r="N66" s="16">
        <f>3.5418+8.2642</f>
        <v>11.806000000000001</v>
      </c>
      <c r="O66" s="16">
        <v>192.49875</v>
      </c>
      <c r="P66" s="16">
        <v>192.49874</v>
      </c>
      <c r="Q66" s="19">
        <v>43454</v>
      </c>
      <c r="R66" s="19">
        <v>43454</v>
      </c>
      <c r="S66" s="16">
        <v>192.49874</v>
      </c>
      <c r="T66" s="49">
        <v>4.39425</v>
      </c>
      <c r="U66" s="16">
        <v>3.12738</v>
      </c>
      <c r="V66" s="16">
        <v>0.6251</v>
      </c>
      <c r="W66" s="16"/>
      <c r="X66" s="21">
        <f aca="true" t="shared" si="3" ref="X66:X78">W66+U66+S66+N66</f>
        <v>207.43212</v>
      </c>
      <c r="Y66" s="86" t="s">
        <v>319</v>
      </c>
      <c r="Z66" s="88" t="s">
        <v>347</v>
      </c>
      <c r="AH66" s="4"/>
    </row>
    <row r="67" spans="1:34" ht="83.25" customHeight="1">
      <c r="A67" s="5">
        <v>61</v>
      </c>
      <c r="B67" s="125" t="s">
        <v>151</v>
      </c>
      <c r="C67" s="125" t="s">
        <v>152</v>
      </c>
      <c r="D67" s="125" t="s">
        <v>152</v>
      </c>
      <c r="E67" s="125" t="s">
        <v>152</v>
      </c>
      <c r="F67" s="77" t="s">
        <v>275</v>
      </c>
      <c r="G67" s="55" t="s">
        <v>276</v>
      </c>
      <c r="H67" s="14">
        <v>1087.939</v>
      </c>
      <c r="I67" s="14">
        <v>1708.423</v>
      </c>
      <c r="J67" s="1">
        <f>67.481-5.436</f>
        <v>62.044999999999995</v>
      </c>
      <c r="K67" s="16">
        <v>20.2443</v>
      </c>
      <c r="L67" s="19">
        <v>43316</v>
      </c>
      <c r="M67" s="19">
        <v>43314</v>
      </c>
      <c r="N67" s="16">
        <f>20.2443+41.8007</f>
        <v>62.045</v>
      </c>
      <c r="O67" s="16">
        <v>1032.1234</v>
      </c>
      <c r="P67" s="16">
        <v>1032.1234</v>
      </c>
      <c r="Q67" s="19">
        <v>43454</v>
      </c>
      <c r="R67" s="19">
        <v>43454</v>
      </c>
      <c r="S67" s="16">
        <v>1032.1234</v>
      </c>
      <c r="T67" s="49">
        <v>23.6985</v>
      </c>
      <c r="U67" s="16">
        <v>16.93224</v>
      </c>
      <c r="V67" s="16">
        <v>3.5812</v>
      </c>
      <c r="W67" s="16"/>
      <c r="X67" s="21">
        <f t="shared" si="3"/>
        <v>1111.10064</v>
      </c>
      <c r="Y67" s="86" t="s">
        <v>316</v>
      </c>
      <c r="Z67" s="88" t="s">
        <v>347</v>
      </c>
      <c r="AH67" s="4"/>
    </row>
    <row r="68" spans="1:34" ht="83.25" customHeight="1">
      <c r="A68" s="5">
        <v>62</v>
      </c>
      <c r="B68" s="125" t="s">
        <v>153</v>
      </c>
      <c r="C68" s="125" t="s">
        <v>154</v>
      </c>
      <c r="D68" s="125" t="s">
        <v>154</v>
      </c>
      <c r="E68" s="125" t="s">
        <v>154</v>
      </c>
      <c r="F68" s="77" t="s">
        <v>275</v>
      </c>
      <c r="G68" s="22" t="s">
        <v>295</v>
      </c>
      <c r="H68" s="14">
        <v>225.654</v>
      </c>
      <c r="I68" s="14">
        <v>211.553</v>
      </c>
      <c r="J68" s="1">
        <v>8.908</v>
      </c>
      <c r="K68" s="16">
        <v>2.6724</v>
      </c>
      <c r="L68" s="19">
        <v>43263</v>
      </c>
      <c r="M68" s="19">
        <v>43264</v>
      </c>
      <c r="N68" s="16">
        <v>8.908</v>
      </c>
      <c r="O68" s="16">
        <f>206.9436-8.19864</f>
        <v>198.74496</v>
      </c>
      <c r="P68" s="16">
        <v>62.08308</v>
      </c>
      <c r="Q68" s="19">
        <v>43315</v>
      </c>
      <c r="R68" s="19">
        <v>43315</v>
      </c>
      <c r="S68" s="16">
        <f>62.08308+136.66188</f>
        <v>198.74496</v>
      </c>
      <c r="T68" s="16">
        <f>3.31485-0.09053</f>
        <v>3.2243199999999996</v>
      </c>
      <c r="U68" s="16">
        <v>3.22432</v>
      </c>
      <c r="V68" s="16">
        <v>0.674</v>
      </c>
      <c r="W68" s="16">
        <v>0.674</v>
      </c>
      <c r="X68" s="21">
        <f t="shared" si="3"/>
        <v>211.55128</v>
      </c>
      <c r="Y68" s="86" t="s">
        <v>316</v>
      </c>
      <c r="Z68" s="88" t="s">
        <v>347</v>
      </c>
      <c r="AH68" s="4"/>
    </row>
    <row r="69" spans="1:34" ht="83.25" customHeight="1">
      <c r="A69" s="5">
        <v>63</v>
      </c>
      <c r="B69" s="125" t="s">
        <v>155</v>
      </c>
      <c r="C69" s="125" t="s">
        <v>156</v>
      </c>
      <c r="D69" s="125" t="s">
        <v>156</v>
      </c>
      <c r="E69" s="125" t="s">
        <v>156</v>
      </c>
      <c r="F69" s="77" t="s">
        <v>275</v>
      </c>
      <c r="G69" s="57" t="s">
        <v>296</v>
      </c>
      <c r="H69" s="14">
        <v>333.296</v>
      </c>
      <c r="I69" s="34">
        <v>333.296</v>
      </c>
      <c r="J69" s="1">
        <v>14.3104</v>
      </c>
      <c r="K69" s="16">
        <v>4.29312</v>
      </c>
      <c r="L69" s="19">
        <v>43265</v>
      </c>
      <c r="M69" s="19">
        <v>43263</v>
      </c>
      <c r="N69" s="16">
        <v>14.3104</v>
      </c>
      <c r="O69" s="16">
        <v>279.3002</v>
      </c>
      <c r="P69" s="16">
        <v>83.79006</v>
      </c>
      <c r="Q69" s="19">
        <v>43416</v>
      </c>
      <c r="R69" s="19">
        <v>43411</v>
      </c>
      <c r="S69" s="16">
        <f>83.79006+108.17981+74.15891+13.17142</f>
        <v>279.3002</v>
      </c>
      <c r="T69" s="16">
        <v>4.53495</v>
      </c>
      <c r="U69" s="16">
        <f>3.13656+1.39839</f>
        <v>4.53495</v>
      </c>
      <c r="V69" s="16">
        <v>0.944</v>
      </c>
      <c r="W69" s="16">
        <v>0.944</v>
      </c>
      <c r="X69" s="21">
        <f t="shared" si="3"/>
        <v>299.08955000000003</v>
      </c>
      <c r="Y69" s="86" t="s">
        <v>316</v>
      </c>
      <c r="Z69" s="88" t="s">
        <v>347</v>
      </c>
      <c r="AH69" s="4"/>
    </row>
    <row r="70" spans="1:34" ht="83.25" customHeight="1">
      <c r="A70" s="29">
        <v>64</v>
      </c>
      <c r="B70" s="125" t="s">
        <v>174</v>
      </c>
      <c r="C70" s="125" t="s">
        <v>156</v>
      </c>
      <c r="D70" s="125" t="s">
        <v>156</v>
      </c>
      <c r="E70" s="125" t="s">
        <v>156</v>
      </c>
      <c r="F70" s="77" t="s">
        <v>275</v>
      </c>
      <c r="G70" s="40" t="s">
        <v>297</v>
      </c>
      <c r="H70" s="32"/>
      <c r="I70" s="36">
        <v>282.6</v>
      </c>
      <c r="J70" s="33">
        <v>11.324</v>
      </c>
      <c r="K70" s="16">
        <v>3.3972</v>
      </c>
      <c r="L70" s="19">
        <v>43347</v>
      </c>
      <c r="M70" s="19">
        <v>43378</v>
      </c>
      <c r="N70" s="16">
        <f>3.3972+7.9268</f>
        <v>11.324</v>
      </c>
      <c r="O70" s="16">
        <f>252.40474-43.12942</f>
        <v>209.27532</v>
      </c>
      <c r="P70" s="16">
        <v>75.72142</v>
      </c>
      <c r="Q70" s="19">
        <v>43446</v>
      </c>
      <c r="R70" s="19">
        <v>43438</v>
      </c>
      <c r="S70" s="16">
        <f>75.72142+86.58769+46.96621</f>
        <v>209.27531999999997</v>
      </c>
      <c r="T70" s="16">
        <v>4.2147</v>
      </c>
      <c r="U70" s="16">
        <f>2.63591+0.71118</f>
        <v>3.34709</v>
      </c>
      <c r="V70" s="16">
        <v>0.77</v>
      </c>
      <c r="W70" s="16"/>
      <c r="X70" s="21">
        <f t="shared" si="3"/>
        <v>223.94641</v>
      </c>
      <c r="Y70" s="86" t="s">
        <v>320</v>
      </c>
      <c r="Z70" s="88" t="s">
        <v>347</v>
      </c>
      <c r="AH70" s="4"/>
    </row>
    <row r="71" spans="1:34" ht="83.25" customHeight="1">
      <c r="A71" s="29">
        <v>65</v>
      </c>
      <c r="B71" s="125" t="s">
        <v>175</v>
      </c>
      <c r="C71" s="125" t="s">
        <v>156</v>
      </c>
      <c r="D71" s="125" t="s">
        <v>156</v>
      </c>
      <c r="E71" s="125" t="s">
        <v>156</v>
      </c>
      <c r="F71" s="77" t="s">
        <v>275</v>
      </c>
      <c r="G71" s="40" t="s">
        <v>281</v>
      </c>
      <c r="H71" s="32"/>
      <c r="I71" s="36">
        <v>263.796</v>
      </c>
      <c r="J71" s="33">
        <v>10.53</v>
      </c>
      <c r="K71" s="16">
        <v>3.159</v>
      </c>
      <c r="L71" s="19">
        <v>43347</v>
      </c>
      <c r="M71" s="19">
        <v>43378</v>
      </c>
      <c r="N71" s="16">
        <f>3.159+7.371</f>
        <v>10.530000000000001</v>
      </c>
      <c r="O71" s="16">
        <v>173.61232</v>
      </c>
      <c r="P71" s="16">
        <v>173.61232</v>
      </c>
      <c r="Q71" s="19">
        <v>43454</v>
      </c>
      <c r="R71" s="19">
        <v>43454</v>
      </c>
      <c r="S71" s="16">
        <v>173.61232</v>
      </c>
      <c r="T71" s="49">
        <v>3.9186</v>
      </c>
      <c r="U71" s="16">
        <v>2.84576</v>
      </c>
      <c r="V71" s="16">
        <v>0.539</v>
      </c>
      <c r="W71" s="16">
        <v>0.539</v>
      </c>
      <c r="X71" s="21">
        <f t="shared" si="3"/>
        <v>187.52708</v>
      </c>
      <c r="Y71" s="86" t="s">
        <v>312</v>
      </c>
      <c r="Z71" s="88" t="s">
        <v>347</v>
      </c>
      <c r="AH71" s="4"/>
    </row>
    <row r="72" spans="1:34" ht="83.25" customHeight="1">
      <c r="A72" s="29">
        <v>66</v>
      </c>
      <c r="B72" s="125" t="s">
        <v>176</v>
      </c>
      <c r="C72" s="125" t="s">
        <v>156</v>
      </c>
      <c r="D72" s="125" t="s">
        <v>156</v>
      </c>
      <c r="E72" s="125" t="s">
        <v>156</v>
      </c>
      <c r="F72" s="77" t="s">
        <v>275</v>
      </c>
      <c r="G72" s="47" t="s">
        <v>297</v>
      </c>
      <c r="H72" s="32"/>
      <c r="I72" s="36">
        <v>445.386</v>
      </c>
      <c r="J72" s="33">
        <f>19.039-0.144</f>
        <v>18.895000000000003</v>
      </c>
      <c r="K72" s="16">
        <v>5.71117</v>
      </c>
      <c r="L72" s="19">
        <v>43347</v>
      </c>
      <c r="M72" s="19">
        <v>43378</v>
      </c>
      <c r="N72" s="16">
        <f>5.71117+13.18383</f>
        <v>18.895</v>
      </c>
      <c r="O72" s="16">
        <v>286.7704</v>
      </c>
      <c r="P72" s="16">
        <v>286.7704</v>
      </c>
      <c r="Q72" s="19">
        <v>43454</v>
      </c>
      <c r="R72" s="19">
        <v>43454</v>
      </c>
      <c r="S72" s="16">
        <v>286.7704</v>
      </c>
      <c r="T72" s="49">
        <v>4.6575</v>
      </c>
      <c r="U72" s="16">
        <v>4.6575</v>
      </c>
      <c r="V72" s="49">
        <v>0.8981</v>
      </c>
      <c r="W72" s="16">
        <v>0.8981</v>
      </c>
      <c r="X72" s="21">
        <f t="shared" si="3"/>
        <v>311.221</v>
      </c>
      <c r="Y72" s="86" t="s">
        <v>321</v>
      </c>
      <c r="Z72" s="88" t="s">
        <v>347</v>
      </c>
      <c r="AH72" s="4"/>
    </row>
    <row r="73" spans="1:34" ht="83.25" customHeight="1">
      <c r="A73" s="29">
        <v>67</v>
      </c>
      <c r="B73" s="125" t="s">
        <v>177</v>
      </c>
      <c r="C73" s="125" t="s">
        <v>156</v>
      </c>
      <c r="D73" s="125" t="s">
        <v>156</v>
      </c>
      <c r="E73" s="125" t="s">
        <v>156</v>
      </c>
      <c r="F73" s="77" t="s">
        <v>275</v>
      </c>
      <c r="G73" s="40" t="s">
        <v>298</v>
      </c>
      <c r="H73" s="32"/>
      <c r="I73" s="36">
        <v>460.13</v>
      </c>
      <c r="J73" s="33">
        <f>19.443-0.133</f>
        <v>19.310000000000002</v>
      </c>
      <c r="K73" s="16">
        <v>5.8329</v>
      </c>
      <c r="L73" s="19">
        <v>43347</v>
      </c>
      <c r="M73" s="19">
        <v>43378</v>
      </c>
      <c r="N73" s="16">
        <f>5.8329+13.4771</f>
        <v>19.310000000000002</v>
      </c>
      <c r="O73" s="16">
        <v>297.28888</v>
      </c>
      <c r="P73" s="16">
        <v>297.28888</v>
      </c>
      <c r="Q73" s="19">
        <v>43454</v>
      </c>
      <c r="R73" s="19">
        <v>43454</v>
      </c>
      <c r="S73" s="16">
        <v>297.28888</v>
      </c>
      <c r="T73" s="49">
        <v>6.7284</v>
      </c>
      <c r="U73" s="16">
        <v>4.87559</v>
      </c>
      <c r="V73" s="49">
        <v>1.334</v>
      </c>
      <c r="W73" s="16">
        <v>0.9338</v>
      </c>
      <c r="X73" s="21">
        <f t="shared" si="3"/>
        <v>322.40827</v>
      </c>
      <c r="Y73" s="86" t="s">
        <v>322</v>
      </c>
      <c r="Z73" s="88" t="s">
        <v>347</v>
      </c>
      <c r="AH73" s="4"/>
    </row>
    <row r="74" spans="1:34" ht="83.25" customHeight="1">
      <c r="A74" s="29">
        <v>68</v>
      </c>
      <c r="B74" s="125" t="s">
        <v>178</v>
      </c>
      <c r="C74" s="125" t="s">
        <v>156</v>
      </c>
      <c r="D74" s="125" t="s">
        <v>156</v>
      </c>
      <c r="E74" s="125" t="s">
        <v>156</v>
      </c>
      <c r="F74" s="77" t="s">
        <v>275</v>
      </c>
      <c r="G74" s="55" t="s">
        <v>281</v>
      </c>
      <c r="H74" s="32"/>
      <c r="I74" s="36">
        <v>213.474</v>
      </c>
      <c r="J74" s="33">
        <v>8.55</v>
      </c>
      <c r="K74" s="16">
        <v>2.565</v>
      </c>
      <c r="L74" s="19">
        <v>43347</v>
      </c>
      <c r="M74" s="19">
        <v>43378</v>
      </c>
      <c r="N74" s="16">
        <f>5.985+2.565</f>
        <v>8.55</v>
      </c>
      <c r="O74" s="16">
        <v>140.54166</v>
      </c>
      <c r="P74" s="16">
        <v>140.54166</v>
      </c>
      <c r="Q74" s="19">
        <v>43454</v>
      </c>
      <c r="R74" s="19">
        <v>43454</v>
      </c>
      <c r="S74" s="49">
        <v>140.54166</v>
      </c>
      <c r="T74" s="49">
        <v>3.18255</v>
      </c>
      <c r="U74" s="16">
        <v>2.28254</v>
      </c>
      <c r="V74" s="16">
        <v>0.3591</v>
      </c>
      <c r="W74" s="16">
        <v>0.3591</v>
      </c>
      <c r="X74" s="21">
        <f t="shared" si="3"/>
        <v>151.7333</v>
      </c>
      <c r="Y74" s="86" t="s">
        <v>315</v>
      </c>
      <c r="Z74" s="88" t="s">
        <v>347</v>
      </c>
      <c r="AH74" s="4"/>
    </row>
    <row r="75" spans="1:34" ht="83.25" customHeight="1">
      <c r="A75" s="29">
        <v>69</v>
      </c>
      <c r="B75" s="125" t="s">
        <v>179</v>
      </c>
      <c r="C75" s="125" t="s">
        <v>156</v>
      </c>
      <c r="D75" s="125" t="s">
        <v>156</v>
      </c>
      <c r="E75" s="125" t="s">
        <v>156</v>
      </c>
      <c r="F75" s="77" t="s">
        <v>275</v>
      </c>
      <c r="G75" s="40" t="s">
        <v>281</v>
      </c>
      <c r="H75" s="32"/>
      <c r="I75" s="36">
        <v>212.476</v>
      </c>
      <c r="J75" s="33">
        <v>8.513</v>
      </c>
      <c r="K75" s="16">
        <v>2.5539</v>
      </c>
      <c r="L75" s="19">
        <v>43347</v>
      </c>
      <c r="M75" s="19">
        <v>43378</v>
      </c>
      <c r="N75" s="16">
        <f>5.9591+2.5539</f>
        <v>8.513</v>
      </c>
      <c r="O75" s="16">
        <v>139.88072</v>
      </c>
      <c r="P75" s="16">
        <v>139.88072</v>
      </c>
      <c r="Q75" s="19">
        <v>43454</v>
      </c>
      <c r="R75" s="19">
        <v>43454</v>
      </c>
      <c r="S75" s="16">
        <v>139.88072</v>
      </c>
      <c r="T75" s="49">
        <v>3.16785</v>
      </c>
      <c r="U75" s="16">
        <v>2.27233</v>
      </c>
      <c r="V75" s="16">
        <v>0.3591</v>
      </c>
      <c r="W75" s="16">
        <v>0.3591</v>
      </c>
      <c r="X75" s="21">
        <f t="shared" si="3"/>
        <v>151.02515</v>
      </c>
      <c r="Y75" s="86" t="s">
        <v>315</v>
      </c>
      <c r="Z75" s="88" t="s">
        <v>347</v>
      </c>
      <c r="AH75" s="4"/>
    </row>
    <row r="76" spans="1:34" ht="83.25" customHeight="1">
      <c r="A76" s="29">
        <v>70</v>
      </c>
      <c r="B76" s="125" t="s">
        <v>180</v>
      </c>
      <c r="C76" s="125" t="s">
        <v>156</v>
      </c>
      <c r="D76" s="125" t="s">
        <v>156</v>
      </c>
      <c r="E76" s="125" t="s">
        <v>156</v>
      </c>
      <c r="F76" s="77" t="s">
        <v>275</v>
      </c>
      <c r="G76" s="55" t="s">
        <v>283</v>
      </c>
      <c r="H76" s="32"/>
      <c r="I76" s="54">
        <v>213.474</v>
      </c>
      <c r="J76" s="33">
        <v>8.55</v>
      </c>
      <c r="K76" s="16">
        <v>2.565</v>
      </c>
      <c r="L76" s="19">
        <v>43347</v>
      </c>
      <c r="M76" s="19">
        <v>43378</v>
      </c>
      <c r="N76" s="16">
        <f>5.985+2.565</f>
        <v>8.55</v>
      </c>
      <c r="O76" s="16">
        <v>140.54166</v>
      </c>
      <c r="P76" s="16">
        <v>140.54166</v>
      </c>
      <c r="Q76" s="19">
        <v>43454</v>
      </c>
      <c r="R76" s="19">
        <v>43453</v>
      </c>
      <c r="S76" s="16">
        <v>140.54166</v>
      </c>
      <c r="T76" s="49">
        <v>3.18255</v>
      </c>
      <c r="U76" s="16">
        <v>2.28236</v>
      </c>
      <c r="V76" s="16">
        <v>0.3591</v>
      </c>
      <c r="W76" s="16">
        <v>0.3591</v>
      </c>
      <c r="X76" s="21">
        <f t="shared" si="3"/>
        <v>151.73312</v>
      </c>
      <c r="Y76" s="86" t="s">
        <v>315</v>
      </c>
      <c r="Z76" s="88" t="s">
        <v>347</v>
      </c>
      <c r="AH76" s="4"/>
    </row>
    <row r="77" spans="1:34" ht="83.25" customHeight="1">
      <c r="A77" s="52">
        <v>71</v>
      </c>
      <c r="B77" s="122" t="s">
        <v>196</v>
      </c>
      <c r="C77" s="123"/>
      <c r="D77" s="123"/>
      <c r="E77" s="124"/>
      <c r="F77" s="76" t="s">
        <v>273</v>
      </c>
      <c r="G77" s="51" t="s">
        <v>160</v>
      </c>
      <c r="H77" s="32"/>
      <c r="I77" s="53">
        <v>20.16</v>
      </c>
      <c r="J77" s="33">
        <f>15.391-2.061</f>
        <v>13.33</v>
      </c>
      <c r="K77" s="16">
        <v>10.7737</v>
      </c>
      <c r="L77" s="19">
        <v>43454</v>
      </c>
      <c r="M77" s="19">
        <v>43439</v>
      </c>
      <c r="N77" s="16">
        <f>10.7737+2.5563</f>
        <v>13.33</v>
      </c>
      <c r="O77" s="16"/>
      <c r="P77" s="16"/>
      <c r="Q77" s="19"/>
      <c r="R77" s="19"/>
      <c r="S77" s="16"/>
      <c r="T77" s="50"/>
      <c r="U77" s="16"/>
      <c r="V77" s="16"/>
      <c r="W77" s="16"/>
      <c r="X77" s="21">
        <f t="shared" si="3"/>
        <v>13.33</v>
      </c>
      <c r="Y77" s="86" t="s">
        <v>312</v>
      </c>
      <c r="Z77" s="88" t="s">
        <v>347</v>
      </c>
      <c r="AH77" s="4"/>
    </row>
    <row r="78" spans="1:34" ht="83.25" customHeight="1">
      <c r="A78" s="52">
        <v>72</v>
      </c>
      <c r="B78" s="122" t="s">
        <v>197</v>
      </c>
      <c r="C78" s="123"/>
      <c r="D78" s="123"/>
      <c r="E78" s="124"/>
      <c r="F78" s="76" t="s">
        <v>273</v>
      </c>
      <c r="G78" s="51" t="s">
        <v>262</v>
      </c>
      <c r="H78" s="32"/>
      <c r="I78" s="53">
        <v>32.115</v>
      </c>
      <c r="J78" s="33">
        <v>33.893</v>
      </c>
      <c r="K78" s="16">
        <v>22.4805</v>
      </c>
      <c r="L78" s="19">
        <v>43454</v>
      </c>
      <c r="M78" s="19">
        <v>43451</v>
      </c>
      <c r="N78" s="16">
        <f>22.4805+9.6345</f>
        <v>32.114999999999995</v>
      </c>
      <c r="O78" s="16"/>
      <c r="P78" s="16"/>
      <c r="Q78" s="19"/>
      <c r="R78" s="19"/>
      <c r="S78" s="16"/>
      <c r="T78" s="50"/>
      <c r="U78" s="16"/>
      <c r="V78" s="16"/>
      <c r="W78" s="16"/>
      <c r="X78" s="21">
        <f t="shared" si="3"/>
        <v>32.114999999999995</v>
      </c>
      <c r="Y78" s="86" t="s">
        <v>316</v>
      </c>
      <c r="Z78" s="88" t="s">
        <v>347</v>
      </c>
      <c r="AH78" s="4"/>
    </row>
    <row r="79" spans="1:34" ht="83.25" customHeight="1">
      <c r="A79" s="52">
        <v>73</v>
      </c>
      <c r="B79" s="122" t="s">
        <v>198</v>
      </c>
      <c r="C79" s="123"/>
      <c r="D79" s="123"/>
      <c r="E79" s="124"/>
      <c r="F79" s="76" t="s">
        <v>273</v>
      </c>
      <c r="G79" s="55" t="s">
        <v>160</v>
      </c>
      <c r="H79" s="32"/>
      <c r="I79" s="53">
        <v>17.858</v>
      </c>
      <c r="J79" s="33">
        <f>13.635</f>
        <v>13.635</v>
      </c>
      <c r="K79" s="16">
        <v>9.5445</v>
      </c>
      <c r="L79" s="19">
        <v>43454</v>
      </c>
      <c r="M79" s="19">
        <v>43439</v>
      </c>
      <c r="N79" s="16">
        <f>9.5445+4.0905-1.294</f>
        <v>12.340999999999998</v>
      </c>
      <c r="O79" s="16"/>
      <c r="P79" s="16"/>
      <c r="Q79" s="19"/>
      <c r="R79" s="19"/>
      <c r="S79" s="16"/>
      <c r="T79" s="50"/>
      <c r="U79" s="16"/>
      <c r="V79" s="16"/>
      <c r="W79" s="16"/>
      <c r="X79" s="21">
        <f aca="true" t="shared" si="4" ref="X79:X84">W79+U79+S79+N79</f>
        <v>12.340999999999998</v>
      </c>
      <c r="Y79" s="86" t="s">
        <v>321</v>
      </c>
      <c r="Z79" s="88" t="s">
        <v>347</v>
      </c>
      <c r="AH79" s="4"/>
    </row>
    <row r="80" spans="1:34" ht="83.25" customHeight="1">
      <c r="A80" s="52">
        <v>74</v>
      </c>
      <c r="B80" s="122" t="s">
        <v>199</v>
      </c>
      <c r="C80" s="123"/>
      <c r="D80" s="123"/>
      <c r="E80" s="124"/>
      <c r="F80" s="76" t="s">
        <v>273</v>
      </c>
      <c r="G80" s="55" t="s">
        <v>160</v>
      </c>
      <c r="H80" s="32"/>
      <c r="I80" s="53">
        <v>19.8</v>
      </c>
      <c r="J80" s="33">
        <f>15.105-0.075</f>
        <v>15.030000000000001</v>
      </c>
      <c r="K80" s="16">
        <v>10.7737</v>
      </c>
      <c r="L80" s="19">
        <v>43454</v>
      </c>
      <c r="M80" s="19">
        <v>43439</v>
      </c>
      <c r="N80" s="16">
        <f>10.5735+4.4565</f>
        <v>15.03</v>
      </c>
      <c r="O80" s="16"/>
      <c r="P80" s="16"/>
      <c r="Q80" s="19"/>
      <c r="R80" s="19"/>
      <c r="S80" s="16"/>
      <c r="T80" s="50"/>
      <c r="U80" s="16"/>
      <c r="V80" s="16"/>
      <c r="W80" s="16"/>
      <c r="X80" s="21">
        <f t="shared" si="4"/>
        <v>15.03</v>
      </c>
      <c r="Y80" s="86" t="s">
        <v>323</v>
      </c>
      <c r="Z80" s="88" t="s">
        <v>347</v>
      </c>
      <c r="AH80" s="4"/>
    </row>
    <row r="81" spans="1:34" ht="83.25" customHeight="1">
      <c r="A81" s="52">
        <v>75</v>
      </c>
      <c r="B81" s="122" t="s">
        <v>200</v>
      </c>
      <c r="C81" s="123"/>
      <c r="D81" s="123"/>
      <c r="E81" s="124"/>
      <c r="F81" s="76" t="s">
        <v>273</v>
      </c>
      <c r="G81" s="51" t="s">
        <v>160</v>
      </c>
      <c r="H81" s="32"/>
      <c r="I81" s="53">
        <v>20.16</v>
      </c>
      <c r="J81" s="33">
        <f>15.391-2.063</f>
        <v>13.328</v>
      </c>
      <c r="K81" s="16">
        <v>10.7737</v>
      </c>
      <c r="L81" s="19">
        <v>43454</v>
      </c>
      <c r="M81" s="19">
        <v>43439</v>
      </c>
      <c r="N81" s="16">
        <f>10.7737+2.5543</f>
        <v>13.328</v>
      </c>
      <c r="O81" s="16"/>
      <c r="P81" s="16"/>
      <c r="Q81" s="19"/>
      <c r="R81" s="19"/>
      <c r="S81" s="16"/>
      <c r="T81" s="50"/>
      <c r="U81" s="16"/>
      <c r="V81" s="16"/>
      <c r="W81" s="16"/>
      <c r="X81" s="21">
        <f t="shared" si="4"/>
        <v>13.328</v>
      </c>
      <c r="Y81" s="86" t="s">
        <v>311</v>
      </c>
      <c r="Z81" s="88" t="s">
        <v>347</v>
      </c>
      <c r="AH81" s="4"/>
    </row>
    <row r="82" spans="1:34" ht="83.25" customHeight="1">
      <c r="A82" s="52">
        <v>76</v>
      </c>
      <c r="B82" s="122" t="s">
        <v>201</v>
      </c>
      <c r="C82" s="123"/>
      <c r="D82" s="123"/>
      <c r="E82" s="124"/>
      <c r="F82" s="76" t="s">
        <v>273</v>
      </c>
      <c r="G82" s="55" t="s">
        <v>160</v>
      </c>
      <c r="H82" s="32"/>
      <c r="I82" s="53">
        <v>20.16</v>
      </c>
      <c r="J82" s="33">
        <f>15.391-2.055</f>
        <v>13.336</v>
      </c>
      <c r="K82" s="16">
        <v>10.7737</v>
      </c>
      <c r="L82" s="19">
        <v>43454</v>
      </c>
      <c r="M82" s="19">
        <v>43439</v>
      </c>
      <c r="N82" s="16">
        <f>10.7737+2.5623</f>
        <v>13.336</v>
      </c>
      <c r="O82" s="16"/>
      <c r="P82" s="16"/>
      <c r="Q82" s="19"/>
      <c r="R82" s="19"/>
      <c r="S82" s="16"/>
      <c r="T82" s="50"/>
      <c r="U82" s="16"/>
      <c r="V82" s="16"/>
      <c r="W82" s="16"/>
      <c r="X82" s="21">
        <f t="shared" si="4"/>
        <v>13.336</v>
      </c>
      <c r="Y82" s="86" t="s">
        <v>311</v>
      </c>
      <c r="Z82" s="88" t="s">
        <v>347</v>
      </c>
      <c r="AH82" s="4"/>
    </row>
    <row r="83" spans="1:34" ht="83.25" customHeight="1">
      <c r="A83" s="52">
        <v>77</v>
      </c>
      <c r="B83" s="122" t="s">
        <v>202</v>
      </c>
      <c r="C83" s="123"/>
      <c r="D83" s="123"/>
      <c r="E83" s="124"/>
      <c r="F83" s="76" t="s">
        <v>273</v>
      </c>
      <c r="G83" s="60" t="s">
        <v>160</v>
      </c>
      <c r="H83" s="32"/>
      <c r="I83" s="53">
        <v>78.514</v>
      </c>
      <c r="J83" s="33">
        <v>68.86</v>
      </c>
      <c r="K83" s="16">
        <v>48.202</v>
      </c>
      <c r="L83" s="19">
        <v>43454</v>
      </c>
      <c r="M83" s="19">
        <v>43451</v>
      </c>
      <c r="N83" s="16">
        <f>48.202+20.658-0.336</f>
        <v>68.524</v>
      </c>
      <c r="O83" s="16"/>
      <c r="P83" s="16"/>
      <c r="Q83" s="19"/>
      <c r="R83" s="19"/>
      <c r="S83" s="16"/>
      <c r="T83" s="50"/>
      <c r="U83" s="16"/>
      <c r="V83" s="16"/>
      <c r="W83" s="16"/>
      <c r="X83" s="21">
        <f t="shared" si="4"/>
        <v>68.524</v>
      </c>
      <c r="Y83" s="86" t="s">
        <v>318</v>
      </c>
      <c r="Z83" s="88" t="s">
        <v>347</v>
      </c>
      <c r="AH83" s="4"/>
    </row>
    <row r="84" spans="1:34" ht="83.25" customHeight="1">
      <c r="A84" s="52">
        <v>78</v>
      </c>
      <c r="B84" s="122" t="s">
        <v>203</v>
      </c>
      <c r="C84" s="123"/>
      <c r="D84" s="123"/>
      <c r="E84" s="124"/>
      <c r="F84" s="76" t="s">
        <v>273</v>
      </c>
      <c r="G84" s="51" t="s">
        <v>262</v>
      </c>
      <c r="H84" s="32"/>
      <c r="I84" s="53">
        <v>27.785</v>
      </c>
      <c r="J84" s="33">
        <v>24.169</v>
      </c>
      <c r="K84" s="16">
        <v>16.9183</v>
      </c>
      <c r="L84" s="19">
        <v>43454</v>
      </c>
      <c r="M84" s="19">
        <v>43451</v>
      </c>
      <c r="N84" s="16">
        <f>16.9183+7.2507-0.336</f>
        <v>23.833</v>
      </c>
      <c r="O84" s="16"/>
      <c r="P84" s="16"/>
      <c r="Q84" s="19"/>
      <c r="R84" s="19"/>
      <c r="S84" s="16"/>
      <c r="T84" s="50"/>
      <c r="U84" s="16"/>
      <c r="V84" s="16"/>
      <c r="W84" s="16"/>
      <c r="X84" s="21">
        <f t="shared" si="4"/>
        <v>23.833</v>
      </c>
      <c r="Y84" s="86" t="s">
        <v>316</v>
      </c>
      <c r="Z84" s="88" t="s">
        <v>347</v>
      </c>
      <c r="AH84" s="4"/>
    </row>
    <row r="85" spans="1:34" ht="83.25" customHeight="1">
      <c r="A85" s="52">
        <v>79</v>
      </c>
      <c r="B85" s="122" t="s">
        <v>204</v>
      </c>
      <c r="C85" s="123"/>
      <c r="D85" s="123"/>
      <c r="E85" s="124"/>
      <c r="F85" s="76" t="s">
        <v>273</v>
      </c>
      <c r="G85" s="55" t="s">
        <v>160</v>
      </c>
      <c r="H85" s="32"/>
      <c r="I85" s="53">
        <v>19.8</v>
      </c>
      <c r="J85" s="33">
        <f>15.105-0.052</f>
        <v>15.053</v>
      </c>
      <c r="K85" s="16">
        <v>10.7737</v>
      </c>
      <c r="L85" s="19">
        <v>43454</v>
      </c>
      <c r="M85" s="19">
        <v>43439</v>
      </c>
      <c r="N85" s="16">
        <f>10.5735+4.4795</f>
        <v>15.052999999999999</v>
      </c>
      <c r="O85" s="16"/>
      <c r="P85" s="16"/>
      <c r="Q85" s="19"/>
      <c r="R85" s="19"/>
      <c r="S85" s="16"/>
      <c r="T85" s="50"/>
      <c r="U85" s="16"/>
      <c r="V85" s="16"/>
      <c r="W85" s="16"/>
      <c r="X85" s="21">
        <f>W85+U85+S85+N85</f>
        <v>15.052999999999999</v>
      </c>
      <c r="Y85" s="86" t="s">
        <v>325</v>
      </c>
      <c r="Z85" s="88" t="s">
        <v>347</v>
      </c>
      <c r="AH85" s="4"/>
    </row>
    <row r="86" spans="1:34" ht="83.25" customHeight="1">
      <c r="A86" s="52">
        <v>80</v>
      </c>
      <c r="B86" s="122" t="s">
        <v>205</v>
      </c>
      <c r="C86" s="123"/>
      <c r="D86" s="123"/>
      <c r="E86" s="124"/>
      <c r="F86" s="76" t="s">
        <v>273</v>
      </c>
      <c r="G86" s="55" t="s">
        <v>160</v>
      </c>
      <c r="H86" s="32"/>
      <c r="I86" s="53">
        <v>10</v>
      </c>
      <c r="J86" s="33">
        <v>7.641</v>
      </c>
      <c r="K86" s="16">
        <v>5.3487</v>
      </c>
      <c r="L86" s="19">
        <v>43454</v>
      </c>
      <c r="M86" s="19">
        <v>43439</v>
      </c>
      <c r="N86" s="16">
        <f>5.3487+2.2923</f>
        <v>7.641</v>
      </c>
      <c r="O86" s="16"/>
      <c r="P86" s="16"/>
      <c r="Q86" s="19"/>
      <c r="R86" s="19"/>
      <c r="S86" s="16"/>
      <c r="T86" s="50"/>
      <c r="U86" s="16"/>
      <c r="V86" s="16"/>
      <c r="W86" s="16"/>
      <c r="X86" s="21">
        <f aca="true" t="shared" si="5" ref="X86:X92">W86+U86+S86+N86</f>
        <v>7.641</v>
      </c>
      <c r="Y86" s="86" t="s">
        <v>326</v>
      </c>
      <c r="Z86" s="88" t="s">
        <v>347</v>
      </c>
      <c r="AH86" s="4"/>
    </row>
    <row r="87" spans="1:34" ht="83.25" customHeight="1">
      <c r="A87" s="52">
        <v>81</v>
      </c>
      <c r="B87" s="122" t="s">
        <v>206</v>
      </c>
      <c r="C87" s="123"/>
      <c r="D87" s="123"/>
      <c r="E87" s="124"/>
      <c r="F87" s="76" t="s">
        <v>273</v>
      </c>
      <c r="G87" s="60" t="s">
        <v>160</v>
      </c>
      <c r="H87" s="32"/>
      <c r="I87" s="53">
        <v>35</v>
      </c>
      <c r="J87" s="33">
        <v>29.702</v>
      </c>
      <c r="K87" s="16">
        <v>20.7914</v>
      </c>
      <c r="L87" s="19">
        <v>43454</v>
      </c>
      <c r="M87" s="19">
        <v>43451</v>
      </c>
      <c r="N87" s="16">
        <f>20.7914+8.9106-0.735</f>
        <v>28.967</v>
      </c>
      <c r="O87" s="16"/>
      <c r="P87" s="16"/>
      <c r="Q87" s="19"/>
      <c r="R87" s="19"/>
      <c r="S87" s="16"/>
      <c r="T87" s="50"/>
      <c r="U87" s="16"/>
      <c r="V87" s="16"/>
      <c r="W87" s="16"/>
      <c r="X87" s="21">
        <f t="shared" si="5"/>
        <v>28.967</v>
      </c>
      <c r="Y87" s="86" t="s">
        <v>316</v>
      </c>
      <c r="Z87" s="88" t="s">
        <v>347</v>
      </c>
      <c r="AH87" s="4"/>
    </row>
    <row r="88" spans="1:34" ht="83.25" customHeight="1">
      <c r="A88" s="52">
        <v>82</v>
      </c>
      <c r="B88" s="122" t="s">
        <v>207</v>
      </c>
      <c r="C88" s="123"/>
      <c r="D88" s="123"/>
      <c r="E88" s="124"/>
      <c r="F88" s="76" t="s">
        <v>273</v>
      </c>
      <c r="G88" s="51" t="s">
        <v>160</v>
      </c>
      <c r="H88" s="32"/>
      <c r="I88" s="53">
        <v>10</v>
      </c>
      <c r="J88" s="33">
        <v>7.641</v>
      </c>
      <c r="K88" s="16">
        <v>5.3487</v>
      </c>
      <c r="L88" s="19">
        <v>43454</v>
      </c>
      <c r="M88" s="19">
        <v>43439</v>
      </c>
      <c r="N88" s="16">
        <f>5.3487+2.2923-0.563</f>
        <v>7.078</v>
      </c>
      <c r="O88" s="16"/>
      <c r="P88" s="16"/>
      <c r="Q88" s="19"/>
      <c r="R88" s="19"/>
      <c r="S88" s="16"/>
      <c r="T88" s="50"/>
      <c r="U88" s="16"/>
      <c r="V88" s="16"/>
      <c r="W88" s="16"/>
      <c r="X88" s="21">
        <f t="shared" si="5"/>
        <v>7.078</v>
      </c>
      <c r="Y88" s="86" t="s">
        <v>316</v>
      </c>
      <c r="Z88" s="88" t="s">
        <v>347</v>
      </c>
      <c r="AH88" s="4"/>
    </row>
    <row r="89" spans="1:34" ht="83.25" customHeight="1">
      <c r="A89" s="52">
        <v>83</v>
      </c>
      <c r="B89" s="122" t="s">
        <v>208</v>
      </c>
      <c r="C89" s="123"/>
      <c r="D89" s="123"/>
      <c r="E89" s="124"/>
      <c r="F89" s="76" t="s">
        <v>273</v>
      </c>
      <c r="G89" s="51" t="s">
        <v>262</v>
      </c>
      <c r="H89" s="32"/>
      <c r="I89" s="53">
        <v>25</v>
      </c>
      <c r="J89" s="33">
        <v>22.106</v>
      </c>
      <c r="K89" s="16" t="s">
        <v>27</v>
      </c>
      <c r="L89" s="19" t="s">
        <v>27</v>
      </c>
      <c r="M89" s="19" t="s">
        <v>27</v>
      </c>
      <c r="N89" s="16">
        <f>22.106-0.338</f>
        <v>21.768</v>
      </c>
      <c r="O89" s="16"/>
      <c r="P89" s="16"/>
      <c r="Q89" s="19"/>
      <c r="R89" s="19"/>
      <c r="S89" s="16"/>
      <c r="T89" s="50"/>
      <c r="U89" s="16"/>
      <c r="V89" s="16"/>
      <c r="W89" s="16"/>
      <c r="X89" s="21">
        <f t="shared" si="5"/>
        <v>21.768</v>
      </c>
      <c r="Y89" s="86" t="s">
        <v>327</v>
      </c>
      <c r="Z89" s="88" t="s">
        <v>347</v>
      </c>
      <c r="AH89" s="4"/>
    </row>
    <row r="90" spans="1:34" ht="83.25" customHeight="1">
      <c r="A90" s="52">
        <v>84</v>
      </c>
      <c r="B90" s="122" t="s">
        <v>209</v>
      </c>
      <c r="C90" s="123"/>
      <c r="D90" s="123"/>
      <c r="E90" s="124"/>
      <c r="F90" s="76" t="s">
        <v>273</v>
      </c>
      <c r="G90" s="51" t="s">
        <v>262</v>
      </c>
      <c r="H90" s="32"/>
      <c r="I90" s="53">
        <v>26.715</v>
      </c>
      <c r="J90" s="33">
        <v>22.702</v>
      </c>
      <c r="K90" s="16">
        <v>15.8914</v>
      </c>
      <c r="L90" s="19">
        <v>43454</v>
      </c>
      <c r="M90" s="19">
        <v>43451</v>
      </c>
      <c r="N90" s="16">
        <f>15.8914+6.8106-0.336</f>
        <v>22.366000000000003</v>
      </c>
      <c r="O90" s="16"/>
      <c r="P90" s="16"/>
      <c r="Q90" s="19"/>
      <c r="R90" s="19"/>
      <c r="S90" s="16"/>
      <c r="T90" s="50"/>
      <c r="U90" s="16"/>
      <c r="V90" s="16"/>
      <c r="W90" s="16"/>
      <c r="X90" s="21">
        <f t="shared" si="5"/>
        <v>22.366000000000003</v>
      </c>
      <c r="Y90" s="86" t="s">
        <v>317</v>
      </c>
      <c r="Z90" s="88" t="s">
        <v>347</v>
      </c>
      <c r="AH90" s="4"/>
    </row>
    <row r="91" spans="1:34" ht="83.25" customHeight="1">
      <c r="A91" s="52">
        <v>85</v>
      </c>
      <c r="B91" s="122" t="s">
        <v>210</v>
      </c>
      <c r="C91" s="123"/>
      <c r="D91" s="123"/>
      <c r="E91" s="124"/>
      <c r="F91" s="76" t="s">
        <v>273</v>
      </c>
      <c r="G91" s="51" t="s">
        <v>262</v>
      </c>
      <c r="H91" s="32"/>
      <c r="I91" s="53">
        <v>32.058</v>
      </c>
      <c r="J91" s="33">
        <v>32.058</v>
      </c>
      <c r="K91" s="16" t="s">
        <v>27</v>
      </c>
      <c r="L91" s="19" t="s">
        <v>27</v>
      </c>
      <c r="M91" s="19" t="s">
        <v>27</v>
      </c>
      <c r="N91" s="16">
        <f>32.058-0.142</f>
        <v>31.916</v>
      </c>
      <c r="O91" s="16"/>
      <c r="P91" s="16"/>
      <c r="Q91" s="19"/>
      <c r="R91" s="19"/>
      <c r="S91" s="16"/>
      <c r="T91" s="50"/>
      <c r="U91" s="16"/>
      <c r="V91" s="16"/>
      <c r="W91" s="16"/>
      <c r="X91" s="21">
        <f t="shared" si="5"/>
        <v>31.916</v>
      </c>
      <c r="Y91" s="86" t="s">
        <v>317</v>
      </c>
      <c r="Z91" s="88" t="s">
        <v>347</v>
      </c>
      <c r="AH91" s="4"/>
    </row>
    <row r="92" spans="1:34" ht="83.25" customHeight="1">
      <c r="A92" s="52">
        <v>86</v>
      </c>
      <c r="B92" s="122" t="s">
        <v>211</v>
      </c>
      <c r="C92" s="123"/>
      <c r="D92" s="123"/>
      <c r="E92" s="124"/>
      <c r="F92" s="76" t="s">
        <v>273</v>
      </c>
      <c r="G92" s="55" t="s">
        <v>160</v>
      </c>
      <c r="H92" s="32"/>
      <c r="I92" s="53">
        <v>10</v>
      </c>
      <c r="J92" s="33">
        <v>7.641</v>
      </c>
      <c r="K92" s="16">
        <v>5.3487</v>
      </c>
      <c r="L92" s="19">
        <v>43454</v>
      </c>
      <c r="M92" s="19">
        <v>43451</v>
      </c>
      <c r="N92" s="16">
        <f>5.3487+2.2923-1.689</f>
        <v>5.952</v>
      </c>
      <c r="O92" s="16"/>
      <c r="P92" s="16"/>
      <c r="Q92" s="19"/>
      <c r="R92" s="19"/>
      <c r="S92" s="16"/>
      <c r="T92" s="50"/>
      <c r="U92" s="16"/>
      <c r="V92" s="16"/>
      <c r="W92" s="16"/>
      <c r="X92" s="21">
        <f t="shared" si="5"/>
        <v>5.952</v>
      </c>
      <c r="Y92" s="86" t="s">
        <v>316</v>
      </c>
      <c r="Z92" s="88" t="s">
        <v>347</v>
      </c>
      <c r="AH92" s="4"/>
    </row>
    <row r="93" spans="1:34" ht="83.25" customHeight="1">
      <c r="A93" s="52">
        <v>87</v>
      </c>
      <c r="B93" s="122" t="s">
        <v>212</v>
      </c>
      <c r="C93" s="123"/>
      <c r="D93" s="123"/>
      <c r="E93" s="124"/>
      <c r="F93" s="76" t="s">
        <v>273</v>
      </c>
      <c r="G93" s="51" t="s">
        <v>160</v>
      </c>
      <c r="H93" s="32"/>
      <c r="I93" s="53">
        <v>20.16</v>
      </c>
      <c r="J93" s="33">
        <v>15.391</v>
      </c>
      <c r="K93" s="16">
        <v>10.7737</v>
      </c>
      <c r="L93" s="19">
        <v>43454</v>
      </c>
      <c r="M93" s="19">
        <v>43439</v>
      </c>
      <c r="N93" s="16">
        <f>10.7737+4.6173</f>
        <v>15.391</v>
      </c>
      <c r="O93" s="16"/>
      <c r="P93" s="16"/>
      <c r="Q93" s="19"/>
      <c r="R93" s="19"/>
      <c r="S93" s="16"/>
      <c r="T93" s="50"/>
      <c r="U93" s="16"/>
      <c r="V93" s="16"/>
      <c r="W93" s="16"/>
      <c r="X93" s="21">
        <f aca="true" t="shared" si="6" ref="X93:X98">W93+U93+S93+N93</f>
        <v>15.391</v>
      </c>
      <c r="Y93" s="86" t="s">
        <v>328</v>
      </c>
      <c r="Z93" s="88" t="s">
        <v>347</v>
      </c>
      <c r="AH93" s="4"/>
    </row>
    <row r="94" spans="1:34" ht="83.25" customHeight="1">
      <c r="A94" s="52">
        <v>88</v>
      </c>
      <c r="B94" s="122" t="s">
        <v>213</v>
      </c>
      <c r="C94" s="123"/>
      <c r="D94" s="123"/>
      <c r="E94" s="124"/>
      <c r="F94" s="76" t="s">
        <v>273</v>
      </c>
      <c r="G94" s="55" t="s">
        <v>160</v>
      </c>
      <c r="H94" s="32"/>
      <c r="I94" s="53">
        <v>10.1</v>
      </c>
      <c r="J94" s="33">
        <v>7.69</v>
      </c>
      <c r="K94" s="16">
        <v>5.383</v>
      </c>
      <c r="L94" s="19">
        <v>43454</v>
      </c>
      <c r="M94" s="19">
        <v>43439</v>
      </c>
      <c r="N94" s="16">
        <f>5.383+2.307</f>
        <v>7.6899999999999995</v>
      </c>
      <c r="O94" s="16"/>
      <c r="P94" s="16"/>
      <c r="Q94" s="19"/>
      <c r="R94" s="19"/>
      <c r="S94" s="16"/>
      <c r="T94" s="50"/>
      <c r="U94" s="16"/>
      <c r="V94" s="16"/>
      <c r="W94" s="16"/>
      <c r="X94" s="21">
        <f t="shared" si="6"/>
        <v>7.6899999999999995</v>
      </c>
      <c r="Y94" s="86" t="s">
        <v>307</v>
      </c>
      <c r="Z94" s="88" t="s">
        <v>347</v>
      </c>
      <c r="AH94" s="4"/>
    </row>
    <row r="95" spans="1:34" ht="83.25" customHeight="1">
      <c r="A95" s="52">
        <v>89</v>
      </c>
      <c r="B95" s="122" t="s">
        <v>214</v>
      </c>
      <c r="C95" s="123"/>
      <c r="D95" s="123"/>
      <c r="E95" s="124"/>
      <c r="F95" s="76" t="s">
        <v>273</v>
      </c>
      <c r="G95" s="55" t="s">
        <v>160</v>
      </c>
      <c r="H95" s="32"/>
      <c r="I95" s="53">
        <v>10.736</v>
      </c>
      <c r="J95" s="33">
        <v>8.197</v>
      </c>
      <c r="K95" s="16">
        <v>5.7379</v>
      </c>
      <c r="L95" s="19">
        <v>43454</v>
      </c>
      <c r="M95" s="19">
        <v>43439</v>
      </c>
      <c r="N95" s="16">
        <f>5.7379+2.4591</f>
        <v>8.197</v>
      </c>
      <c r="O95" s="16"/>
      <c r="P95" s="16"/>
      <c r="Q95" s="19"/>
      <c r="R95" s="19"/>
      <c r="S95" s="16"/>
      <c r="T95" s="50"/>
      <c r="U95" s="16"/>
      <c r="V95" s="16"/>
      <c r="W95" s="16"/>
      <c r="X95" s="21">
        <f t="shared" si="6"/>
        <v>8.197</v>
      </c>
      <c r="Y95" s="86" t="s">
        <v>308</v>
      </c>
      <c r="Z95" s="88" t="s">
        <v>347</v>
      </c>
      <c r="AH95" s="4"/>
    </row>
    <row r="96" spans="1:34" ht="83.25" customHeight="1">
      <c r="A96" s="52">
        <v>90</v>
      </c>
      <c r="B96" s="122" t="s">
        <v>215</v>
      </c>
      <c r="C96" s="123"/>
      <c r="D96" s="123"/>
      <c r="E96" s="124"/>
      <c r="F96" s="76" t="s">
        <v>273</v>
      </c>
      <c r="G96" s="55" t="s">
        <v>160</v>
      </c>
      <c r="H96" s="32"/>
      <c r="I96" s="53">
        <v>19.8</v>
      </c>
      <c r="J96" s="33">
        <f>15.105-0.137</f>
        <v>14.968</v>
      </c>
      <c r="K96" s="16">
        <v>10.5735</v>
      </c>
      <c r="L96" s="19">
        <v>43454</v>
      </c>
      <c r="M96" s="19">
        <v>43439</v>
      </c>
      <c r="N96" s="16">
        <f>10.5735+4.3945</f>
        <v>14.968</v>
      </c>
      <c r="O96" s="16"/>
      <c r="P96" s="16"/>
      <c r="Q96" s="19"/>
      <c r="R96" s="19"/>
      <c r="S96" s="16"/>
      <c r="T96" s="50"/>
      <c r="U96" s="16"/>
      <c r="V96" s="16"/>
      <c r="W96" s="16"/>
      <c r="X96" s="21">
        <f t="shared" si="6"/>
        <v>14.968</v>
      </c>
      <c r="Y96" s="86" t="s">
        <v>323</v>
      </c>
      <c r="Z96" s="88" t="s">
        <v>347</v>
      </c>
      <c r="AH96" s="4"/>
    </row>
    <row r="97" spans="1:34" ht="83.25" customHeight="1">
      <c r="A97" s="52">
        <v>91</v>
      </c>
      <c r="B97" s="122" t="s">
        <v>216</v>
      </c>
      <c r="C97" s="123"/>
      <c r="D97" s="123"/>
      <c r="E97" s="124"/>
      <c r="F97" s="76" t="s">
        <v>273</v>
      </c>
      <c r="G97" s="51" t="s">
        <v>160</v>
      </c>
      <c r="H97" s="32"/>
      <c r="I97" s="53">
        <v>19.8</v>
      </c>
      <c r="J97" s="33">
        <f>15.105-0.205</f>
        <v>14.9</v>
      </c>
      <c r="K97" s="16">
        <v>10.5735</v>
      </c>
      <c r="L97" s="19">
        <v>43454</v>
      </c>
      <c r="M97" s="19">
        <v>43439</v>
      </c>
      <c r="N97" s="16">
        <f>10.5735+4.3265</f>
        <v>14.899999999999999</v>
      </c>
      <c r="O97" s="16"/>
      <c r="P97" s="16"/>
      <c r="Q97" s="19"/>
      <c r="R97" s="19"/>
      <c r="S97" s="16"/>
      <c r="T97" s="50"/>
      <c r="U97" s="16"/>
      <c r="V97" s="16"/>
      <c r="W97" s="16"/>
      <c r="X97" s="21">
        <f t="shared" si="6"/>
        <v>14.899999999999999</v>
      </c>
      <c r="Y97" s="86" t="s">
        <v>304</v>
      </c>
      <c r="Z97" s="88" t="s">
        <v>347</v>
      </c>
      <c r="AH97" s="4"/>
    </row>
    <row r="98" spans="1:34" ht="83.25" customHeight="1">
      <c r="A98" s="52">
        <v>92</v>
      </c>
      <c r="B98" s="122" t="s">
        <v>217</v>
      </c>
      <c r="C98" s="123"/>
      <c r="D98" s="123"/>
      <c r="E98" s="124"/>
      <c r="F98" s="76" t="s">
        <v>273</v>
      </c>
      <c r="G98" s="55" t="s">
        <v>160</v>
      </c>
      <c r="H98" s="32"/>
      <c r="I98" s="53">
        <v>10</v>
      </c>
      <c r="J98" s="33">
        <v>7.641</v>
      </c>
      <c r="K98" s="16">
        <v>5.3487</v>
      </c>
      <c r="L98" s="19">
        <v>43454</v>
      </c>
      <c r="M98" s="19">
        <v>43439</v>
      </c>
      <c r="N98" s="16">
        <f>5.3487+2.2923</f>
        <v>7.641</v>
      </c>
      <c r="O98" s="16"/>
      <c r="P98" s="16"/>
      <c r="Q98" s="19"/>
      <c r="R98" s="19"/>
      <c r="S98" s="16"/>
      <c r="T98" s="50"/>
      <c r="U98" s="16"/>
      <c r="V98" s="16"/>
      <c r="W98" s="16"/>
      <c r="X98" s="21">
        <f t="shared" si="6"/>
        <v>7.641</v>
      </c>
      <c r="Y98" s="86" t="s">
        <v>314</v>
      </c>
      <c r="Z98" s="88" t="s">
        <v>347</v>
      </c>
      <c r="AH98" s="4"/>
    </row>
    <row r="99" spans="1:34" ht="83.25" customHeight="1">
      <c r="A99" s="52">
        <v>93</v>
      </c>
      <c r="B99" s="122" t="s">
        <v>218</v>
      </c>
      <c r="C99" s="123"/>
      <c r="D99" s="123"/>
      <c r="E99" s="124"/>
      <c r="F99" s="76" t="s">
        <v>273</v>
      </c>
      <c r="G99" s="55" t="s">
        <v>160</v>
      </c>
      <c r="H99" s="32"/>
      <c r="I99" s="53">
        <v>19.8</v>
      </c>
      <c r="J99" s="33">
        <f>15.105-0.041</f>
        <v>15.064</v>
      </c>
      <c r="K99" s="16">
        <v>10.5735</v>
      </c>
      <c r="L99" s="19">
        <v>43454</v>
      </c>
      <c r="M99" s="19">
        <v>43439</v>
      </c>
      <c r="N99" s="16">
        <f>10.5735+4.4905</f>
        <v>15.064</v>
      </c>
      <c r="O99" s="16"/>
      <c r="P99" s="16"/>
      <c r="Q99" s="19"/>
      <c r="R99" s="19"/>
      <c r="S99" s="16"/>
      <c r="T99" s="50"/>
      <c r="U99" s="16"/>
      <c r="V99" s="16"/>
      <c r="W99" s="16"/>
      <c r="X99" s="21">
        <f>W99+U99+S99+N99</f>
        <v>15.064</v>
      </c>
      <c r="Y99" s="86" t="s">
        <v>320</v>
      </c>
      <c r="Z99" s="88" t="s">
        <v>347</v>
      </c>
      <c r="AH99" s="4"/>
    </row>
    <row r="100" spans="1:34" ht="83.25" customHeight="1">
      <c r="A100" s="52">
        <v>94</v>
      </c>
      <c r="B100" s="122" t="s">
        <v>219</v>
      </c>
      <c r="C100" s="123"/>
      <c r="D100" s="123"/>
      <c r="E100" s="124"/>
      <c r="F100" s="76" t="s">
        <v>273</v>
      </c>
      <c r="G100" s="55" t="s">
        <v>160</v>
      </c>
      <c r="H100" s="32"/>
      <c r="I100" s="53">
        <v>18.715</v>
      </c>
      <c r="J100" s="33">
        <v>14.289</v>
      </c>
      <c r="K100" s="16">
        <v>10.0023</v>
      </c>
      <c r="L100" s="19">
        <v>43454</v>
      </c>
      <c r="M100" s="19">
        <v>43439</v>
      </c>
      <c r="N100" s="16">
        <f>10.0023+4.2867</f>
        <v>14.289</v>
      </c>
      <c r="O100" s="16"/>
      <c r="P100" s="16"/>
      <c r="Q100" s="19"/>
      <c r="R100" s="19"/>
      <c r="S100" s="16"/>
      <c r="T100" s="50"/>
      <c r="U100" s="16"/>
      <c r="V100" s="16"/>
      <c r="W100" s="16"/>
      <c r="X100" s="21">
        <f aca="true" t="shared" si="7" ref="X100:X105">W100+U100+S100+N100</f>
        <v>14.289</v>
      </c>
      <c r="Y100" s="86" t="s">
        <v>304</v>
      </c>
      <c r="Z100" s="88" t="s">
        <v>347</v>
      </c>
      <c r="AH100" s="4"/>
    </row>
    <row r="101" spans="1:34" ht="83.25" customHeight="1">
      <c r="A101" s="52">
        <v>95</v>
      </c>
      <c r="B101" s="122" t="s">
        <v>220</v>
      </c>
      <c r="C101" s="123"/>
      <c r="D101" s="123"/>
      <c r="E101" s="124"/>
      <c r="F101" s="76" t="s">
        <v>273</v>
      </c>
      <c r="G101" s="55" t="s">
        <v>160</v>
      </c>
      <c r="H101" s="32"/>
      <c r="I101" s="53">
        <v>20.16</v>
      </c>
      <c r="J101" s="33">
        <f>15.391-2.046</f>
        <v>13.345</v>
      </c>
      <c r="K101" s="16">
        <v>10.7737</v>
      </c>
      <c r="L101" s="19">
        <v>43454</v>
      </c>
      <c r="M101" s="19">
        <v>43439</v>
      </c>
      <c r="N101" s="16">
        <f>10.7737+2.5713</f>
        <v>13.344999999999999</v>
      </c>
      <c r="O101" s="16"/>
      <c r="P101" s="16"/>
      <c r="Q101" s="19"/>
      <c r="R101" s="19"/>
      <c r="S101" s="16"/>
      <c r="T101" s="50"/>
      <c r="U101" s="16"/>
      <c r="V101" s="16"/>
      <c r="W101" s="16"/>
      <c r="X101" s="21">
        <f t="shared" si="7"/>
        <v>13.344999999999999</v>
      </c>
      <c r="Y101" s="86" t="s">
        <v>321</v>
      </c>
      <c r="Z101" s="88" t="s">
        <v>347</v>
      </c>
      <c r="AH101" s="4"/>
    </row>
    <row r="102" spans="1:34" ht="83.25" customHeight="1">
      <c r="A102" s="52">
        <v>96</v>
      </c>
      <c r="B102" s="122" t="s">
        <v>221</v>
      </c>
      <c r="C102" s="123"/>
      <c r="D102" s="123"/>
      <c r="E102" s="124"/>
      <c r="F102" s="76" t="s">
        <v>273</v>
      </c>
      <c r="G102" s="51" t="s">
        <v>160</v>
      </c>
      <c r="H102" s="32"/>
      <c r="I102" s="53">
        <v>20.16</v>
      </c>
      <c r="J102" s="33">
        <f>15.391-2.046</f>
        <v>13.345</v>
      </c>
      <c r="K102" s="16">
        <v>10.7737</v>
      </c>
      <c r="L102" s="19">
        <v>43454</v>
      </c>
      <c r="M102" s="19">
        <v>43439</v>
      </c>
      <c r="N102" s="16">
        <f>10.7737+2.5713</f>
        <v>13.344999999999999</v>
      </c>
      <c r="O102" s="16"/>
      <c r="P102" s="16"/>
      <c r="Q102" s="19"/>
      <c r="R102" s="19"/>
      <c r="S102" s="16"/>
      <c r="T102" s="50"/>
      <c r="U102" s="16"/>
      <c r="V102" s="16"/>
      <c r="W102" s="16"/>
      <c r="X102" s="21">
        <f t="shared" si="7"/>
        <v>13.344999999999999</v>
      </c>
      <c r="Y102" s="86" t="s">
        <v>321</v>
      </c>
      <c r="Z102" s="88" t="s">
        <v>347</v>
      </c>
      <c r="AH102" s="4"/>
    </row>
    <row r="103" spans="1:34" ht="83.25" customHeight="1">
      <c r="A103" s="52">
        <v>97</v>
      </c>
      <c r="B103" s="122" t="s">
        <v>222</v>
      </c>
      <c r="C103" s="123"/>
      <c r="D103" s="123"/>
      <c r="E103" s="124"/>
      <c r="F103" s="76" t="s">
        <v>273</v>
      </c>
      <c r="G103" s="55" t="s">
        <v>160</v>
      </c>
      <c r="H103" s="32"/>
      <c r="I103" s="53">
        <v>19.8</v>
      </c>
      <c r="J103" s="33">
        <v>15.105</v>
      </c>
      <c r="K103" s="16">
        <v>10.5735</v>
      </c>
      <c r="L103" s="19">
        <v>43454</v>
      </c>
      <c r="M103" s="19">
        <v>43439</v>
      </c>
      <c r="N103" s="16">
        <f>10.5735+4.5315-0.953</f>
        <v>14.152000000000001</v>
      </c>
      <c r="O103" s="16"/>
      <c r="P103" s="16"/>
      <c r="Q103" s="19"/>
      <c r="R103" s="19"/>
      <c r="S103" s="16"/>
      <c r="T103" s="50"/>
      <c r="U103" s="16"/>
      <c r="V103" s="16"/>
      <c r="W103" s="16"/>
      <c r="X103" s="21">
        <f t="shared" si="7"/>
        <v>14.152000000000001</v>
      </c>
      <c r="Y103" s="86" t="s">
        <v>323</v>
      </c>
      <c r="Z103" s="88" t="s">
        <v>347</v>
      </c>
      <c r="AH103" s="4"/>
    </row>
    <row r="104" spans="1:34" ht="83.25" customHeight="1">
      <c r="A104" s="52">
        <v>98</v>
      </c>
      <c r="B104" s="122" t="s">
        <v>223</v>
      </c>
      <c r="C104" s="123"/>
      <c r="D104" s="123"/>
      <c r="E104" s="124"/>
      <c r="F104" s="76" t="s">
        <v>273</v>
      </c>
      <c r="G104" s="55" t="s">
        <v>160</v>
      </c>
      <c r="H104" s="32"/>
      <c r="I104" s="53">
        <v>19.8</v>
      </c>
      <c r="J104" s="33">
        <f>15.105-1.783</f>
        <v>13.322000000000001</v>
      </c>
      <c r="K104" s="16">
        <v>10.5735</v>
      </c>
      <c r="L104" s="19">
        <v>43454</v>
      </c>
      <c r="M104" s="19">
        <v>43439</v>
      </c>
      <c r="N104" s="16">
        <f>10.5735+2.7485</f>
        <v>13.322</v>
      </c>
      <c r="O104" s="16"/>
      <c r="P104" s="16"/>
      <c r="Q104" s="19"/>
      <c r="R104" s="19"/>
      <c r="S104" s="16"/>
      <c r="T104" s="50"/>
      <c r="U104" s="16"/>
      <c r="V104" s="16"/>
      <c r="W104" s="16"/>
      <c r="X104" s="21">
        <f t="shared" si="7"/>
        <v>13.322</v>
      </c>
      <c r="Y104" s="86" t="s">
        <v>306</v>
      </c>
      <c r="Z104" s="88" t="s">
        <v>347</v>
      </c>
      <c r="AH104" s="4"/>
    </row>
    <row r="105" spans="1:34" ht="83.25" customHeight="1">
      <c r="A105" s="52">
        <v>99</v>
      </c>
      <c r="B105" s="122" t="s">
        <v>224</v>
      </c>
      <c r="C105" s="123"/>
      <c r="D105" s="123"/>
      <c r="E105" s="124"/>
      <c r="F105" s="76" t="s">
        <v>273</v>
      </c>
      <c r="G105" s="51" t="s">
        <v>262</v>
      </c>
      <c r="H105" s="32"/>
      <c r="I105" s="53">
        <v>42.03</v>
      </c>
      <c r="J105" s="33">
        <v>42.03</v>
      </c>
      <c r="K105" s="16">
        <v>29.421</v>
      </c>
      <c r="L105" s="19">
        <v>43454</v>
      </c>
      <c r="M105" s="19">
        <v>43451</v>
      </c>
      <c r="N105" s="16">
        <f>29.421+12.609</f>
        <v>42.03</v>
      </c>
      <c r="O105" s="16"/>
      <c r="P105" s="16"/>
      <c r="Q105" s="19"/>
      <c r="R105" s="19"/>
      <c r="S105" s="16"/>
      <c r="T105" s="50"/>
      <c r="U105" s="16"/>
      <c r="V105" s="16"/>
      <c r="W105" s="16"/>
      <c r="X105" s="21">
        <f t="shared" si="7"/>
        <v>42.03</v>
      </c>
      <c r="Y105" s="86" t="s">
        <v>309</v>
      </c>
      <c r="Z105" s="88" t="s">
        <v>347</v>
      </c>
      <c r="AH105" s="4"/>
    </row>
    <row r="106" spans="1:34" ht="83.25" customHeight="1">
      <c r="A106" s="52">
        <v>100</v>
      </c>
      <c r="B106" s="122" t="s">
        <v>225</v>
      </c>
      <c r="C106" s="123"/>
      <c r="D106" s="123"/>
      <c r="E106" s="124"/>
      <c r="F106" s="76" t="s">
        <v>273</v>
      </c>
      <c r="G106" s="55" t="s">
        <v>160</v>
      </c>
      <c r="H106" s="32"/>
      <c r="I106" s="53">
        <v>22.909</v>
      </c>
      <c r="J106" s="33">
        <v>13.744</v>
      </c>
      <c r="K106" s="16">
        <v>9.6208</v>
      </c>
      <c r="L106" s="19">
        <v>43454</v>
      </c>
      <c r="M106" s="19">
        <v>43439</v>
      </c>
      <c r="N106" s="16">
        <f>9.6208+4.1232-0.698</f>
        <v>13.046</v>
      </c>
      <c r="O106" s="16"/>
      <c r="P106" s="16"/>
      <c r="Q106" s="19"/>
      <c r="R106" s="19"/>
      <c r="S106" s="16"/>
      <c r="T106" s="50"/>
      <c r="U106" s="16"/>
      <c r="V106" s="16"/>
      <c r="W106" s="16"/>
      <c r="X106" s="21">
        <f aca="true" t="shared" si="8" ref="X106:X112">W106+U106+S106+N106</f>
        <v>13.046</v>
      </c>
      <c r="Y106" s="86" t="s">
        <v>329</v>
      </c>
      <c r="Z106" s="88" t="s">
        <v>347</v>
      </c>
      <c r="AH106" s="4"/>
    </row>
    <row r="107" spans="1:34" ht="83.25" customHeight="1">
      <c r="A107" s="52">
        <v>101</v>
      </c>
      <c r="B107" s="122" t="s">
        <v>226</v>
      </c>
      <c r="C107" s="123"/>
      <c r="D107" s="123"/>
      <c r="E107" s="124"/>
      <c r="F107" s="76" t="s">
        <v>273</v>
      </c>
      <c r="G107" s="55" t="s">
        <v>160</v>
      </c>
      <c r="H107" s="32"/>
      <c r="I107" s="53">
        <v>19.8</v>
      </c>
      <c r="J107" s="33">
        <f>15.105-0.034</f>
        <v>15.071</v>
      </c>
      <c r="K107" s="16">
        <v>10.5735</v>
      </c>
      <c r="L107" s="19">
        <v>43454</v>
      </c>
      <c r="M107" s="19">
        <v>43439</v>
      </c>
      <c r="N107" s="16">
        <f>10.5735+4.4975</f>
        <v>15.070999999999998</v>
      </c>
      <c r="O107" s="16"/>
      <c r="P107" s="16"/>
      <c r="Q107" s="19"/>
      <c r="R107" s="19"/>
      <c r="S107" s="16"/>
      <c r="T107" s="50"/>
      <c r="U107" s="16"/>
      <c r="V107" s="16"/>
      <c r="W107" s="16"/>
      <c r="X107" s="21">
        <f t="shared" si="8"/>
        <v>15.070999999999998</v>
      </c>
      <c r="Y107" s="86" t="s">
        <v>329</v>
      </c>
      <c r="Z107" s="88" t="s">
        <v>347</v>
      </c>
      <c r="AH107" s="4"/>
    </row>
    <row r="108" spans="1:34" ht="83.25" customHeight="1">
      <c r="A108" s="52">
        <v>102</v>
      </c>
      <c r="B108" s="122" t="s">
        <v>227</v>
      </c>
      <c r="C108" s="123"/>
      <c r="D108" s="123"/>
      <c r="E108" s="124"/>
      <c r="F108" s="76" t="s">
        <v>273</v>
      </c>
      <c r="G108" s="55" t="s">
        <v>160</v>
      </c>
      <c r="H108" s="32"/>
      <c r="I108" s="53">
        <v>19.8</v>
      </c>
      <c r="J108" s="33">
        <f>15.105-2.135</f>
        <v>12.97</v>
      </c>
      <c r="K108" s="16">
        <v>10.5735</v>
      </c>
      <c r="L108" s="19">
        <v>43454</v>
      </c>
      <c r="M108" s="19">
        <v>43439</v>
      </c>
      <c r="N108" s="16">
        <f>10.5735+2.3965</f>
        <v>12.969999999999999</v>
      </c>
      <c r="O108" s="16"/>
      <c r="P108" s="16"/>
      <c r="Q108" s="19"/>
      <c r="R108" s="19"/>
      <c r="S108" s="16"/>
      <c r="T108" s="50"/>
      <c r="U108" s="16"/>
      <c r="V108" s="16"/>
      <c r="W108" s="16"/>
      <c r="X108" s="21">
        <f t="shared" si="8"/>
        <v>12.969999999999999</v>
      </c>
      <c r="Y108" s="86" t="s">
        <v>304</v>
      </c>
      <c r="Z108" s="88" t="s">
        <v>347</v>
      </c>
      <c r="AH108" s="4"/>
    </row>
    <row r="109" spans="1:34" ht="83.25" customHeight="1">
      <c r="A109" s="52">
        <v>103</v>
      </c>
      <c r="B109" s="122" t="s">
        <v>228</v>
      </c>
      <c r="C109" s="123"/>
      <c r="D109" s="123"/>
      <c r="E109" s="124"/>
      <c r="F109" s="76" t="s">
        <v>273</v>
      </c>
      <c r="G109" s="51" t="s">
        <v>262</v>
      </c>
      <c r="H109" s="32"/>
      <c r="I109" s="53">
        <v>30.025</v>
      </c>
      <c r="J109" s="33">
        <v>25.854</v>
      </c>
      <c r="K109" s="16">
        <v>18.0978</v>
      </c>
      <c r="L109" s="19">
        <v>43454</v>
      </c>
      <c r="M109" s="19">
        <v>43451</v>
      </c>
      <c r="N109" s="16">
        <f>18.0978+7.7562-0.679</f>
        <v>25.175</v>
      </c>
      <c r="O109" s="16"/>
      <c r="P109" s="16"/>
      <c r="Q109" s="19"/>
      <c r="R109" s="19"/>
      <c r="S109" s="16"/>
      <c r="T109" s="50"/>
      <c r="U109" s="16"/>
      <c r="V109" s="16"/>
      <c r="W109" s="16"/>
      <c r="X109" s="21">
        <f t="shared" si="8"/>
        <v>25.175</v>
      </c>
      <c r="Y109" s="86" t="s">
        <v>304</v>
      </c>
      <c r="Z109" s="88" t="s">
        <v>347</v>
      </c>
      <c r="AH109" s="4"/>
    </row>
    <row r="110" spans="1:34" ht="83.25" customHeight="1">
      <c r="A110" s="52">
        <v>104</v>
      </c>
      <c r="B110" s="122" t="s">
        <v>229</v>
      </c>
      <c r="C110" s="123"/>
      <c r="D110" s="123"/>
      <c r="E110" s="124"/>
      <c r="F110" s="76" t="s">
        <v>273</v>
      </c>
      <c r="G110" s="55" t="s">
        <v>160</v>
      </c>
      <c r="H110" s="32"/>
      <c r="I110" s="53">
        <v>7.16</v>
      </c>
      <c r="J110" s="33">
        <v>5.465</v>
      </c>
      <c r="K110" s="16">
        <v>3.8255</v>
      </c>
      <c r="L110" s="19">
        <v>43454</v>
      </c>
      <c r="M110" s="19">
        <v>43439</v>
      </c>
      <c r="N110" s="16">
        <f>3.8255+1.6395</f>
        <v>5.465</v>
      </c>
      <c r="O110" s="16"/>
      <c r="P110" s="16"/>
      <c r="Q110" s="19"/>
      <c r="R110" s="19"/>
      <c r="S110" s="16"/>
      <c r="T110" s="50"/>
      <c r="U110" s="16"/>
      <c r="V110" s="16"/>
      <c r="W110" s="16"/>
      <c r="X110" s="21">
        <f t="shared" si="8"/>
        <v>5.465</v>
      </c>
      <c r="Y110" s="86" t="s">
        <v>313</v>
      </c>
      <c r="Z110" s="88" t="s">
        <v>347</v>
      </c>
      <c r="AH110" s="4"/>
    </row>
    <row r="111" spans="1:34" ht="83.25" customHeight="1">
      <c r="A111" s="52">
        <v>105</v>
      </c>
      <c r="B111" s="122" t="s">
        <v>230</v>
      </c>
      <c r="C111" s="123"/>
      <c r="D111" s="123"/>
      <c r="E111" s="124"/>
      <c r="F111" s="76" t="s">
        <v>273</v>
      </c>
      <c r="G111" s="51" t="s">
        <v>160</v>
      </c>
      <c r="H111" s="32"/>
      <c r="I111" s="53">
        <v>20.16</v>
      </c>
      <c r="J111" s="33">
        <v>15.391</v>
      </c>
      <c r="K111" s="16">
        <v>10.7737</v>
      </c>
      <c r="L111" s="19">
        <v>43454</v>
      </c>
      <c r="M111" s="19">
        <v>43439</v>
      </c>
      <c r="N111" s="16">
        <f>10.7737+4.6173-2.245</f>
        <v>13.146</v>
      </c>
      <c r="O111" s="16"/>
      <c r="P111" s="16"/>
      <c r="Q111" s="19"/>
      <c r="R111" s="19"/>
      <c r="S111" s="16"/>
      <c r="T111" s="50"/>
      <c r="U111" s="16"/>
      <c r="V111" s="16"/>
      <c r="W111" s="16"/>
      <c r="X111" s="21">
        <f t="shared" si="8"/>
        <v>13.146</v>
      </c>
      <c r="Y111" s="86" t="s">
        <v>321</v>
      </c>
      <c r="Z111" s="88" t="s">
        <v>347</v>
      </c>
      <c r="AH111" s="4"/>
    </row>
    <row r="112" spans="1:34" ht="83.25" customHeight="1">
      <c r="A112" s="52">
        <v>106</v>
      </c>
      <c r="B112" s="122" t="s">
        <v>231</v>
      </c>
      <c r="C112" s="123"/>
      <c r="D112" s="123"/>
      <c r="E112" s="124"/>
      <c r="F112" s="76" t="s">
        <v>273</v>
      </c>
      <c r="G112" s="60" t="s">
        <v>160</v>
      </c>
      <c r="H112" s="32"/>
      <c r="I112" s="53">
        <v>26.572</v>
      </c>
      <c r="J112" s="33">
        <v>22.743</v>
      </c>
      <c r="K112" s="16">
        <v>15.9201</v>
      </c>
      <c r="L112" s="19">
        <v>43454</v>
      </c>
      <c r="M112" s="19">
        <v>43444</v>
      </c>
      <c r="N112" s="16">
        <f>15.9201+6.8229-0.339</f>
        <v>22.404</v>
      </c>
      <c r="O112" s="16"/>
      <c r="P112" s="16"/>
      <c r="Q112" s="19"/>
      <c r="R112" s="19"/>
      <c r="S112" s="16"/>
      <c r="T112" s="50"/>
      <c r="U112" s="16"/>
      <c r="V112" s="16"/>
      <c r="W112" s="16"/>
      <c r="X112" s="21">
        <f t="shared" si="8"/>
        <v>22.404</v>
      </c>
      <c r="Y112" s="86" t="s">
        <v>321</v>
      </c>
      <c r="Z112" s="88" t="s">
        <v>347</v>
      </c>
      <c r="AH112" s="4"/>
    </row>
    <row r="113" spans="1:34" ht="83.25" customHeight="1">
      <c r="A113" s="52">
        <v>107</v>
      </c>
      <c r="B113" s="122" t="s">
        <v>232</v>
      </c>
      <c r="C113" s="123"/>
      <c r="D113" s="123"/>
      <c r="E113" s="124"/>
      <c r="F113" s="76" t="s">
        <v>273</v>
      </c>
      <c r="G113" s="55" t="s">
        <v>160</v>
      </c>
      <c r="H113" s="32"/>
      <c r="I113" s="53">
        <v>20.015</v>
      </c>
      <c r="J113" s="33">
        <v>15.391</v>
      </c>
      <c r="K113" s="16">
        <v>10.7737</v>
      </c>
      <c r="L113" s="19">
        <v>43454</v>
      </c>
      <c r="M113" s="19">
        <v>43439</v>
      </c>
      <c r="N113" s="16">
        <f>10.7737+4.6173</f>
        <v>15.391</v>
      </c>
      <c r="O113" s="16"/>
      <c r="P113" s="16"/>
      <c r="Q113" s="19"/>
      <c r="R113" s="19"/>
      <c r="S113" s="16"/>
      <c r="T113" s="50"/>
      <c r="U113" s="16"/>
      <c r="V113" s="16"/>
      <c r="W113" s="16"/>
      <c r="X113" s="21">
        <f aca="true" t="shared" si="9" ref="X113:X119">W113+U113+S113+N113</f>
        <v>15.391</v>
      </c>
      <c r="Y113" s="86" t="s">
        <v>330</v>
      </c>
      <c r="Z113" s="88" t="s">
        <v>347</v>
      </c>
      <c r="AH113" s="4"/>
    </row>
    <row r="114" spans="1:34" ht="83.25" customHeight="1">
      <c r="A114" s="52">
        <v>108</v>
      </c>
      <c r="B114" s="122" t="s">
        <v>233</v>
      </c>
      <c r="C114" s="123"/>
      <c r="D114" s="123"/>
      <c r="E114" s="124"/>
      <c r="F114" s="76" t="s">
        <v>273</v>
      </c>
      <c r="G114" s="51" t="s">
        <v>160</v>
      </c>
      <c r="H114" s="32"/>
      <c r="I114" s="53">
        <v>19.8</v>
      </c>
      <c r="J114" s="33">
        <f>15.105-0.069</f>
        <v>15.036</v>
      </c>
      <c r="K114" s="16">
        <v>10.5735</v>
      </c>
      <c r="L114" s="19">
        <v>43454</v>
      </c>
      <c r="M114" s="19">
        <v>43439</v>
      </c>
      <c r="N114" s="16">
        <f>10.5735+4.4625</f>
        <v>15.036</v>
      </c>
      <c r="O114" s="16"/>
      <c r="P114" s="16"/>
      <c r="Q114" s="19"/>
      <c r="R114" s="19"/>
      <c r="S114" s="16"/>
      <c r="T114" s="50"/>
      <c r="U114" s="16"/>
      <c r="V114" s="16"/>
      <c r="W114" s="16"/>
      <c r="X114" s="21">
        <f t="shared" si="9"/>
        <v>15.036</v>
      </c>
      <c r="Y114" s="86" t="s">
        <v>316</v>
      </c>
      <c r="Z114" s="88" t="s">
        <v>347</v>
      </c>
      <c r="AH114" s="4"/>
    </row>
    <row r="115" spans="1:34" ht="83.25" customHeight="1">
      <c r="A115" s="52">
        <v>109</v>
      </c>
      <c r="B115" s="122" t="s">
        <v>234</v>
      </c>
      <c r="C115" s="123"/>
      <c r="D115" s="123"/>
      <c r="E115" s="124"/>
      <c r="F115" s="76" t="s">
        <v>273</v>
      </c>
      <c r="G115" s="51" t="s">
        <v>160</v>
      </c>
      <c r="H115" s="32"/>
      <c r="I115" s="53">
        <v>10</v>
      </c>
      <c r="J115" s="33">
        <v>7.641</v>
      </c>
      <c r="K115" s="16">
        <v>5.3487</v>
      </c>
      <c r="L115" s="19">
        <v>43454</v>
      </c>
      <c r="M115" s="19">
        <v>43439</v>
      </c>
      <c r="N115" s="16">
        <f>5.3487+2.2923-0.526</f>
        <v>7.115</v>
      </c>
      <c r="O115" s="16"/>
      <c r="P115" s="16"/>
      <c r="Q115" s="19"/>
      <c r="R115" s="19"/>
      <c r="S115" s="16"/>
      <c r="T115" s="50"/>
      <c r="U115" s="16"/>
      <c r="V115" s="16"/>
      <c r="W115" s="16"/>
      <c r="X115" s="21">
        <f t="shared" si="9"/>
        <v>7.115</v>
      </c>
      <c r="Y115" s="86" t="s">
        <v>326</v>
      </c>
      <c r="Z115" s="88" t="s">
        <v>347</v>
      </c>
      <c r="AH115" s="4"/>
    </row>
    <row r="116" spans="1:34" ht="83.25" customHeight="1">
      <c r="A116" s="52">
        <v>110</v>
      </c>
      <c r="B116" s="122" t="s">
        <v>235</v>
      </c>
      <c r="C116" s="123"/>
      <c r="D116" s="123"/>
      <c r="E116" s="124"/>
      <c r="F116" s="76" t="s">
        <v>273</v>
      </c>
      <c r="G116" s="51" t="s">
        <v>262</v>
      </c>
      <c r="H116" s="32"/>
      <c r="I116" s="53">
        <v>35.03</v>
      </c>
      <c r="J116" s="33">
        <v>29.446</v>
      </c>
      <c r="K116" s="16">
        <v>20.6122</v>
      </c>
      <c r="L116" s="19">
        <v>43454</v>
      </c>
      <c r="M116" s="19">
        <v>43451</v>
      </c>
      <c r="N116" s="16">
        <f>20.6122+8.8338-0.671</f>
        <v>28.775000000000002</v>
      </c>
      <c r="O116" s="16"/>
      <c r="P116" s="16"/>
      <c r="Q116" s="19"/>
      <c r="R116" s="19"/>
      <c r="S116" s="16"/>
      <c r="T116" s="50"/>
      <c r="U116" s="16"/>
      <c r="V116" s="16"/>
      <c r="W116" s="16"/>
      <c r="X116" s="21">
        <f t="shared" si="9"/>
        <v>28.775000000000002</v>
      </c>
      <c r="Y116" s="86" t="s">
        <v>329</v>
      </c>
      <c r="Z116" s="88" t="s">
        <v>347</v>
      </c>
      <c r="AH116" s="4"/>
    </row>
    <row r="117" spans="1:34" ht="83.25" customHeight="1">
      <c r="A117" s="52">
        <v>111</v>
      </c>
      <c r="B117" s="122" t="s">
        <v>236</v>
      </c>
      <c r="C117" s="123"/>
      <c r="D117" s="123"/>
      <c r="E117" s="124"/>
      <c r="F117" s="76" t="s">
        <v>273</v>
      </c>
      <c r="G117" s="55" t="s">
        <v>160</v>
      </c>
      <c r="H117" s="32"/>
      <c r="I117" s="53">
        <v>10</v>
      </c>
      <c r="J117" s="33">
        <v>7.641</v>
      </c>
      <c r="K117" s="16">
        <v>5.3487</v>
      </c>
      <c r="L117" s="19">
        <v>43454</v>
      </c>
      <c r="M117" s="19">
        <v>43439</v>
      </c>
      <c r="N117" s="16">
        <f>5.3487+2.2923</f>
        <v>7.641</v>
      </c>
      <c r="O117" s="16"/>
      <c r="P117" s="16"/>
      <c r="Q117" s="19"/>
      <c r="R117" s="19"/>
      <c r="S117" s="16"/>
      <c r="T117" s="50"/>
      <c r="U117" s="16"/>
      <c r="V117" s="16"/>
      <c r="W117" s="16"/>
      <c r="X117" s="21">
        <f t="shared" si="9"/>
        <v>7.641</v>
      </c>
      <c r="Y117" s="86" t="s">
        <v>331</v>
      </c>
      <c r="Z117" s="88" t="s">
        <v>347</v>
      </c>
      <c r="AH117" s="4"/>
    </row>
    <row r="118" spans="1:34" ht="83.25" customHeight="1">
      <c r="A118" s="52">
        <v>112</v>
      </c>
      <c r="B118" s="122" t="s">
        <v>237</v>
      </c>
      <c r="C118" s="123"/>
      <c r="D118" s="123"/>
      <c r="E118" s="124"/>
      <c r="F118" s="76" t="s">
        <v>273</v>
      </c>
      <c r="G118" s="55" t="s">
        <v>160</v>
      </c>
      <c r="H118" s="32"/>
      <c r="I118" s="53">
        <v>15.011</v>
      </c>
      <c r="J118" s="33">
        <v>11.462</v>
      </c>
      <c r="K118" s="16">
        <v>8.0234</v>
      </c>
      <c r="L118" s="19">
        <v>43454</v>
      </c>
      <c r="M118" s="19">
        <v>43439</v>
      </c>
      <c r="N118" s="16">
        <f>8.0234+3.4386</f>
        <v>11.462</v>
      </c>
      <c r="O118" s="16"/>
      <c r="P118" s="16"/>
      <c r="Q118" s="19"/>
      <c r="R118" s="19"/>
      <c r="S118" s="16"/>
      <c r="T118" s="50"/>
      <c r="U118" s="16"/>
      <c r="V118" s="16"/>
      <c r="W118" s="16"/>
      <c r="X118" s="21">
        <f t="shared" si="9"/>
        <v>11.462</v>
      </c>
      <c r="Y118" s="86" t="s">
        <v>323</v>
      </c>
      <c r="Z118" s="88" t="s">
        <v>347</v>
      </c>
      <c r="AH118" s="4"/>
    </row>
    <row r="119" spans="1:34" ht="83.25" customHeight="1">
      <c r="A119" s="52">
        <v>113</v>
      </c>
      <c r="B119" s="122" t="s">
        <v>238</v>
      </c>
      <c r="C119" s="123"/>
      <c r="D119" s="123"/>
      <c r="E119" s="124"/>
      <c r="F119" s="76" t="s">
        <v>273</v>
      </c>
      <c r="G119" s="55" t="s">
        <v>160</v>
      </c>
      <c r="H119" s="32"/>
      <c r="I119" s="53">
        <v>10.74</v>
      </c>
      <c r="J119" s="33">
        <v>8.197</v>
      </c>
      <c r="K119" s="16">
        <v>5.7379</v>
      </c>
      <c r="L119" s="19">
        <v>43454</v>
      </c>
      <c r="M119" s="19">
        <v>43439</v>
      </c>
      <c r="N119" s="16">
        <f>5.7379+2.4591</f>
        <v>8.197</v>
      </c>
      <c r="O119" s="16"/>
      <c r="P119" s="16"/>
      <c r="Q119" s="19"/>
      <c r="R119" s="19"/>
      <c r="S119" s="16"/>
      <c r="T119" s="50"/>
      <c r="U119" s="16"/>
      <c r="V119" s="16"/>
      <c r="W119" s="16"/>
      <c r="X119" s="21">
        <f t="shared" si="9"/>
        <v>8.197</v>
      </c>
      <c r="Y119" s="86" t="s">
        <v>308</v>
      </c>
      <c r="Z119" s="88" t="s">
        <v>347</v>
      </c>
      <c r="AH119" s="4"/>
    </row>
    <row r="120" spans="1:34" ht="83.25" customHeight="1">
      <c r="A120" s="52">
        <v>114</v>
      </c>
      <c r="B120" s="122" t="s">
        <v>239</v>
      </c>
      <c r="C120" s="123"/>
      <c r="D120" s="123"/>
      <c r="E120" s="124"/>
      <c r="F120" s="76" t="s">
        <v>273</v>
      </c>
      <c r="G120" s="55" t="s">
        <v>160</v>
      </c>
      <c r="H120" s="32"/>
      <c r="I120" s="53">
        <v>20.16</v>
      </c>
      <c r="J120" s="33">
        <f>15.391-2.063</f>
        <v>13.328</v>
      </c>
      <c r="K120" s="16">
        <v>10.7737</v>
      </c>
      <c r="L120" s="19">
        <v>43454</v>
      </c>
      <c r="M120" s="19">
        <v>43439</v>
      </c>
      <c r="N120" s="16">
        <f>10.7737+2.5543</f>
        <v>13.328</v>
      </c>
      <c r="O120" s="16"/>
      <c r="P120" s="16"/>
      <c r="Q120" s="19"/>
      <c r="R120" s="19"/>
      <c r="S120" s="16"/>
      <c r="T120" s="50"/>
      <c r="U120" s="16"/>
      <c r="V120" s="16"/>
      <c r="W120" s="16"/>
      <c r="X120" s="21">
        <f aca="true" t="shared" si="10" ref="X120:X130">W120+U120+S120+N120</f>
        <v>13.328</v>
      </c>
      <c r="Y120" s="86" t="s">
        <v>332</v>
      </c>
      <c r="Z120" s="88" t="s">
        <v>347</v>
      </c>
      <c r="AH120" s="4"/>
    </row>
    <row r="121" spans="1:34" ht="83.25" customHeight="1">
      <c r="A121" s="65">
        <v>115</v>
      </c>
      <c r="B121" s="122" t="s">
        <v>240</v>
      </c>
      <c r="C121" s="123"/>
      <c r="D121" s="123"/>
      <c r="E121" s="124"/>
      <c r="F121" s="76" t="s">
        <v>273</v>
      </c>
      <c r="G121" s="75" t="s">
        <v>160</v>
      </c>
      <c r="H121" s="68"/>
      <c r="I121" s="69">
        <v>19.8</v>
      </c>
      <c r="J121" s="70"/>
      <c r="K121" s="71"/>
      <c r="L121" s="72"/>
      <c r="M121" s="72"/>
      <c r="N121" s="71"/>
      <c r="O121" s="16"/>
      <c r="P121" s="16"/>
      <c r="Q121" s="19"/>
      <c r="R121" s="19"/>
      <c r="S121" s="16"/>
      <c r="T121" s="50"/>
      <c r="U121" s="16"/>
      <c r="V121" s="16"/>
      <c r="W121" s="16"/>
      <c r="X121" s="21">
        <f t="shared" si="10"/>
        <v>0</v>
      </c>
      <c r="Y121" s="86" t="s">
        <v>312</v>
      </c>
      <c r="Z121" s="88" t="s">
        <v>347</v>
      </c>
      <c r="AH121" s="4"/>
    </row>
    <row r="122" spans="1:34" ht="83.25" customHeight="1">
      <c r="A122" s="65">
        <v>116</v>
      </c>
      <c r="B122" s="122" t="s">
        <v>241</v>
      </c>
      <c r="C122" s="123"/>
      <c r="D122" s="123"/>
      <c r="E122" s="124"/>
      <c r="F122" s="76" t="s">
        <v>273</v>
      </c>
      <c r="G122" s="63" t="s">
        <v>160</v>
      </c>
      <c r="H122" s="39"/>
      <c r="I122" s="64">
        <v>66.23</v>
      </c>
      <c r="J122" s="33">
        <v>56.035</v>
      </c>
      <c r="K122" s="16">
        <v>39.2245</v>
      </c>
      <c r="L122" s="19">
        <v>43454</v>
      </c>
      <c r="M122" s="19">
        <v>43451</v>
      </c>
      <c r="N122" s="16">
        <f>39.2245+16.8105-0.336</f>
        <v>55.699</v>
      </c>
      <c r="O122" s="16"/>
      <c r="P122" s="16"/>
      <c r="Q122" s="19"/>
      <c r="R122" s="19"/>
      <c r="S122" s="16"/>
      <c r="T122" s="50"/>
      <c r="U122" s="16"/>
      <c r="V122" s="16"/>
      <c r="W122" s="16"/>
      <c r="X122" s="21">
        <f t="shared" si="10"/>
        <v>55.699</v>
      </c>
      <c r="Y122" s="86" t="s">
        <v>333</v>
      </c>
      <c r="Z122" s="88" t="s">
        <v>347</v>
      </c>
      <c r="AH122" s="4"/>
    </row>
    <row r="123" spans="1:34" ht="83.25" customHeight="1">
      <c r="A123" s="52">
        <v>117</v>
      </c>
      <c r="B123" s="122" t="s">
        <v>242</v>
      </c>
      <c r="C123" s="123"/>
      <c r="D123" s="123"/>
      <c r="E123" s="124"/>
      <c r="F123" s="76" t="s">
        <v>273</v>
      </c>
      <c r="G123" s="55" t="s">
        <v>160</v>
      </c>
      <c r="H123" s="32"/>
      <c r="I123" s="53">
        <v>3.572</v>
      </c>
      <c r="J123" s="33">
        <v>2.727</v>
      </c>
      <c r="K123" s="16">
        <v>1.9089</v>
      </c>
      <c r="L123" s="19">
        <v>43454</v>
      </c>
      <c r="M123" s="19">
        <v>43439</v>
      </c>
      <c r="N123" s="16">
        <f>1.9089+0.8181</f>
        <v>2.7270000000000003</v>
      </c>
      <c r="O123" s="16"/>
      <c r="P123" s="16"/>
      <c r="Q123" s="19"/>
      <c r="R123" s="19"/>
      <c r="S123" s="16"/>
      <c r="T123" s="50"/>
      <c r="U123" s="16"/>
      <c r="V123" s="16"/>
      <c r="W123" s="16"/>
      <c r="X123" s="21">
        <f t="shared" si="10"/>
        <v>2.7270000000000003</v>
      </c>
      <c r="Y123" s="86" t="s">
        <v>322</v>
      </c>
      <c r="Z123" s="88" t="s">
        <v>347</v>
      </c>
      <c r="AH123" s="4"/>
    </row>
    <row r="124" spans="1:34" ht="83.25" customHeight="1">
      <c r="A124" s="52">
        <v>118</v>
      </c>
      <c r="B124" s="122" t="s">
        <v>243</v>
      </c>
      <c r="C124" s="123"/>
      <c r="D124" s="123"/>
      <c r="E124" s="124"/>
      <c r="F124" s="76" t="s">
        <v>273</v>
      </c>
      <c r="G124" s="60" t="s">
        <v>160</v>
      </c>
      <c r="H124" s="32"/>
      <c r="I124" s="53">
        <v>36.171</v>
      </c>
      <c r="J124" s="33">
        <v>26.829</v>
      </c>
      <c r="K124" s="16">
        <v>18.7803</v>
      </c>
      <c r="L124" s="19">
        <v>43454</v>
      </c>
      <c r="M124" s="19">
        <v>43451</v>
      </c>
      <c r="N124" s="16">
        <f>18.7803+8.0487-0.336</f>
        <v>26.493000000000002</v>
      </c>
      <c r="O124" s="16"/>
      <c r="P124" s="16"/>
      <c r="Q124" s="19"/>
      <c r="R124" s="19"/>
      <c r="S124" s="16"/>
      <c r="T124" s="50"/>
      <c r="U124" s="16"/>
      <c r="V124" s="16"/>
      <c r="W124" s="16"/>
      <c r="X124" s="21">
        <f t="shared" si="10"/>
        <v>26.493000000000002</v>
      </c>
      <c r="Y124" s="86" t="s">
        <v>316</v>
      </c>
      <c r="Z124" s="88" t="s">
        <v>347</v>
      </c>
      <c r="AH124" s="4"/>
    </row>
    <row r="125" spans="1:34" ht="83.25" customHeight="1">
      <c r="A125" s="52">
        <v>119</v>
      </c>
      <c r="B125" s="122" t="s">
        <v>244</v>
      </c>
      <c r="C125" s="123"/>
      <c r="D125" s="123"/>
      <c r="E125" s="124"/>
      <c r="F125" s="76" t="s">
        <v>273</v>
      </c>
      <c r="G125" s="55" t="s">
        <v>160</v>
      </c>
      <c r="H125" s="32"/>
      <c r="I125" s="53">
        <v>15.011</v>
      </c>
      <c r="J125" s="33">
        <v>11.462</v>
      </c>
      <c r="K125" s="16">
        <v>8.0234</v>
      </c>
      <c r="L125" s="19">
        <v>43454</v>
      </c>
      <c r="M125" s="19">
        <v>43454</v>
      </c>
      <c r="N125" s="16">
        <f>8.0234+3.4386-0.412</f>
        <v>11.049999999999999</v>
      </c>
      <c r="O125" s="16"/>
      <c r="P125" s="16"/>
      <c r="Q125" s="19"/>
      <c r="R125" s="19"/>
      <c r="S125" s="16"/>
      <c r="T125" s="50"/>
      <c r="U125" s="16"/>
      <c r="V125" s="16"/>
      <c r="W125" s="16"/>
      <c r="X125" s="21">
        <f t="shared" si="10"/>
        <v>11.049999999999999</v>
      </c>
      <c r="Y125" s="86" t="s">
        <v>314</v>
      </c>
      <c r="Z125" s="88" t="s">
        <v>347</v>
      </c>
      <c r="AH125" s="4"/>
    </row>
    <row r="126" spans="1:34" ht="83.25" customHeight="1">
      <c r="A126" s="52">
        <v>120</v>
      </c>
      <c r="B126" s="122" t="s">
        <v>245</v>
      </c>
      <c r="C126" s="123"/>
      <c r="D126" s="123"/>
      <c r="E126" s="124"/>
      <c r="F126" s="76" t="s">
        <v>273</v>
      </c>
      <c r="G126" s="60" t="s">
        <v>160</v>
      </c>
      <c r="H126" s="32"/>
      <c r="I126" s="53">
        <v>48.377</v>
      </c>
      <c r="J126" s="33">
        <v>44.248</v>
      </c>
      <c r="K126" s="16">
        <v>30.9736</v>
      </c>
      <c r="L126" s="19">
        <v>43454</v>
      </c>
      <c r="M126" s="19">
        <v>43444</v>
      </c>
      <c r="N126" s="16">
        <f>30.9736+13.2744-0.336</f>
        <v>43.912000000000006</v>
      </c>
      <c r="O126" s="16"/>
      <c r="P126" s="16"/>
      <c r="Q126" s="19"/>
      <c r="R126" s="19"/>
      <c r="S126" s="16"/>
      <c r="T126" s="50"/>
      <c r="U126" s="16"/>
      <c r="V126" s="16"/>
      <c r="W126" s="16"/>
      <c r="X126" s="21">
        <f t="shared" si="10"/>
        <v>43.912000000000006</v>
      </c>
      <c r="Y126" s="86" t="s">
        <v>321</v>
      </c>
      <c r="Z126" s="88" t="s">
        <v>347</v>
      </c>
      <c r="AH126" s="4"/>
    </row>
    <row r="127" spans="1:34" ht="83.25" customHeight="1">
      <c r="A127" s="52">
        <v>121</v>
      </c>
      <c r="B127" s="122" t="s">
        <v>246</v>
      </c>
      <c r="C127" s="123"/>
      <c r="D127" s="123"/>
      <c r="E127" s="124"/>
      <c r="F127" s="76" t="s">
        <v>273</v>
      </c>
      <c r="G127" s="51" t="s">
        <v>262</v>
      </c>
      <c r="H127" s="32"/>
      <c r="I127" s="53">
        <v>23.321</v>
      </c>
      <c r="J127" s="33">
        <v>20.433</v>
      </c>
      <c r="K127" s="16">
        <v>14.3031</v>
      </c>
      <c r="L127" s="19">
        <v>43454</v>
      </c>
      <c r="M127" s="19">
        <v>43451</v>
      </c>
      <c r="N127" s="16">
        <f>14.3031+6.1299-0.452</f>
        <v>19.980999999999998</v>
      </c>
      <c r="O127" s="16"/>
      <c r="P127" s="16"/>
      <c r="Q127" s="19"/>
      <c r="R127" s="19"/>
      <c r="S127" s="16"/>
      <c r="T127" s="50"/>
      <c r="U127" s="16"/>
      <c r="V127" s="16"/>
      <c r="W127" s="16"/>
      <c r="X127" s="21">
        <f t="shared" si="10"/>
        <v>19.980999999999998</v>
      </c>
      <c r="Y127" s="86" t="s">
        <v>319</v>
      </c>
      <c r="Z127" s="88" t="s">
        <v>347</v>
      </c>
      <c r="AH127" s="4"/>
    </row>
    <row r="128" spans="1:34" ht="83.25" customHeight="1">
      <c r="A128" s="52">
        <v>122</v>
      </c>
      <c r="B128" s="122" t="s">
        <v>247</v>
      </c>
      <c r="C128" s="123"/>
      <c r="D128" s="123"/>
      <c r="E128" s="124"/>
      <c r="F128" s="76" t="s">
        <v>273</v>
      </c>
      <c r="G128" s="51" t="s">
        <v>160</v>
      </c>
      <c r="H128" s="32"/>
      <c r="I128" s="53">
        <v>19.8</v>
      </c>
      <c r="J128" s="33">
        <f>15.105-0.05</f>
        <v>15.055</v>
      </c>
      <c r="K128" s="16">
        <v>10.5735</v>
      </c>
      <c r="L128" s="19">
        <v>43454</v>
      </c>
      <c r="M128" s="19">
        <v>43439</v>
      </c>
      <c r="N128" s="16">
        <f>10.5735+4.4815</f>
        <v>15.055</v>
      </c>
      <c r="O128" s="16"/>
      <c r="P128" s="16"/>
      <c r="Q128" s="19"/>
      <c r="R128" s="19"/>
      <c r="S128" s="16"/>
      <c r="T128" s="50"/>
      <c r="U128" s="16"/>
      <c r="V128" s="16"/>
      <c r="W128" s="16"/>
      <c r="X128" s="21">
        <f t="shared" si="10"/>
        <v>15.055</v>
      </c>
      <c r="Y128" s="86" t="s">
        <v>323</v>
      </c>
      <c r="Z128" s="88" t="s">
        <v>347</v>
      </c>
      <c r="AH128" s="4"/>
    </row>
    <row r="129" spans="1:34" ht="83.25" customHeight="1">
      <c r="A129" s="52">
        <v>123</v>
      </c>
      <c r="B129" s="122" t="s">
        <v>248</v>
      </c>
      <c r="C129" s="123"/>
      <c r="D129" s="123"/>
      <c r="E129" s="124"/>
      <c r="F129" s="76" t="s">
        <v>273</v>
      </c>
      <c r="G129" s="55" t="s">
        <v>160</v>
      </c>
      <c r="H129" s="32"/>
      <c r="I129" s="53">
        <v>20.16</v>
      </c>
      <c r="J129" s="33">
        <f>15.391-2.074</f>
        <v>13.317</v>
      </c>
      <c r="K129" s="16">
        <v>10.7737</v>
      </c>
      <c r="L129" s="19">
        <v>43454</v>
      </c>
      <c r="M129" s="19">
        <v>43439</v>
      </c>
      <c r="N129" s="16">
        <f>10.7737+2.5433</f>
        <v>13.317</v>
      </c>
      <c r="O129" s="16"/>
      <c r="P129" s="16"/>
      <c r="Q129" s="19"/>
      <c r="R129" s="19"/>
      <c r="S129" s="16"/>
      <c r="T129" s="50"/>
      <c r="U129" s="16"/>
      <c r="V129" s="16"/>
      <c r="W129" s="16"/>
      <c r="X129" s="21">
        <f t="shared" si="10"/>
        <v>13.317</v>
      </c>
      <c r="Y129" s="86" t="s">
        <v>332</v>
      </c>
      <c r="Z129" s="88" t="s">
        <v>347</v>
      </c>
      <c r="AH129" s="4"/>
    </row>
    <row r="130" spans="1:34" ht="83.25" customHeight="1">
      <c r="A130" s="52">
        <v>124</v>
      </c>
      <c r="B130" s="122" t="s">
        <v>249</v>
      </c>
      <c r="C130" s="123"/>
      <c r="D130" s="123"/>
      <c r="E130" s="124"/>
      <c r="F130" s="76" t="s">
        <v>273</v>
      </c>
      <c r="G130" s="55" t="s">
        <v>160</v>
      </c>
      <c r="H130" s="32"/>
      <c r="I130" s="53">
        <v>20.16</v>
      </c>
      <c r="J130" s="33">
        <f>15.391-2.043</f>
        <v>13.347999999999999</v>
      </c>
      <c r="K130" s="16">
        <v>10.7737</v>
      </c>
      <c r="L130" s="19">
        <v>43454</v>
      </c>
      <c r="M130" s="19">
        <v>43439</v>
      </c>
      <c r="N130" s="16">
        <f>10.7737+2.5743</f>
        <v>13.347999999999999</v>
      </c>
      <c r="O130" s="16"/>
      <c r="P130" s="16"/>
      <c r="Q130" s="19"/>
      <c r="R130" s="19"/>
      <c r="S130" s="16"/>
      <c r="T130" s="50"/>
      <c r="U130" s="16"/>
      <c r="V130" s="16"/>
      <c r="W130" s="16"/>
      <c r="X130" s="21">
        <f t="shared" si="10"/>
        <v>13.347999999999999</v>
      </c>
      <c r="Y130" s="86" t="s">
        <v>332</v>
      </c>
      <c r="Z130" s="88" t="s">
        <v>347</v>
      </c>
      <c r="AH130" s="4"/>
    </row>
    <row r="131" spans="1:34" ht="83.25" customHeight="1">
      <c r="A131" s="52">
        <v>125</v>
      </c>
      <c r="B131" s="122" t="s">
        <v>250</v>
      </c>
      <c r="C131" s="123"/>
      <c r="D131" s="123"/>
      <c r="E131" s="124"/>
      <c r="F131" s="76" t="s">
        <v>273</v>
      </c>
      <c r="G131" s="55" t="s">
        <v>160</v>
      </c>
      <c r="H131" s="32"/>
      <c r="I131" s="53">
        <v>17.357</v>
      </c>
      <c r="J131" s="33">
        <v>13.253</v>
      </c>
      <c r="K131" s="16">
        <v>9.2771</v>
      </c>
      <c r="L131" s="19">
        <v>43454</v>
      </c>
      <c r="M131" s="19">
        <v>43439</v>
      </c>
      <c r="N131" s="16">
        <f>9.2771+3.9759-0.987</f>
        <v>12.266</v>
      </c>
      <c r="O131" s="16"/>
      <c r="P131" s="16"/>
      <c r="Q131" s="19"/>
      <c r="R131" s="19"/>
      <c r="S131" s="16"/>
      <c r="T131" s="50"/>
      <c r="U131" s="16"/>
      <c r="V131" s="16"/>
      <c r="W131" s="16"/>
      <c r="X131" s="21">
        <f aca="true" t="shared" si="11" ref="X131:X136">W131+U131+S131+N131</f>
        <v>12.266</v>
      </c>
      <c r="Y131" s="86" t="s">
        <v>313</v>
      </c>
      <c r="Z131" s="88" t="s">
        <v>347</v>
      </c>
      <c r="AH131" s="4"/>
    </row>
    <row r="132" spans="1:34" ht="83.25" customHeight="1">
      <c r="A132" s="52">
        <v>126</v>
      </c>
      <c r="B132" s="122" t="s">
        <v>251</v>
      </c>
      <c r="C132" s="123"/>
      <c r="D132" s="123"/>
      <c r="E132" s="124"/>
      <c r="F132" s="76" t="s">
        <v>273</v>
      </c>
      <c r="G132" s="55" t="s">
        <v>160</v>
      </c>
      <c r="H132" s="32"/>
      <c r="I132" s="53">
        <v>17.357</v>
      </c>
      <c r="J132" s="33">
        <v>13.253</v>
      </c>
      <c r="K132" s="16">
        <v>9.2771</v>
      </c>
      <c r="L132" s="19">
        <v>43454</v>
      </c>
      <c r="M132" s="19">
        <v>43439</v>
      </c>
      <c r="N132" s="16">
        <f>9.2771+3.9759-0.987</f>
        <v>12.266</v>
      </c>
      <c r="O132" s="16"/>
      <c r="P132" s="16"/>
      <c r="Q132" s="19"/>
      <c r="R132" s="19"/>
      <c r="S132" s="16"/>
      <c r="T132" s="50"/>
      <c r="U132" s="16"/>
      <c r="V132" s="16"/>
      <c r="W132" s="16"/>
      <c r="X132" s="21">
        <f t="shared" si="11"/>
        <v>12.266</v>
      </c>
      <c r="Y132" s="86" t="s">
        <v>313</v>
      </c>
      <c r="Z132" s="88" t="s">
        <v>347</v>
      </c>
      <c r="AH132" s="4"/>
    </row>
    <row r="133" spans="1:34" ht="83.25" customHeight="1">
      <c r="A133" s="52">
        <v>127</v>
      </c>
      <c r="B133" s="122" t="s">
        <v>252</v>
      </c>
      <c r="C133" s="123"/>
      <c r="D133" s="123"/>
      <c r="E133" s="124"/>
      <c r="F133" s="76" t="s">
        <v>273</v>
      </c>
      <c r="G133" s="60" t="s">
        <v>160</v>
      </c>
      <c r="H133" s="32"/>
      <c r="I133" s="53">
        <v>32.251</v>
      </c>
      <c r="J133" s="33">
        <v>30.863</v>
      </c>
      <c r="K133" s="16">
        <v>21.6041</v>
      </c>
      <c r="L133" s="19">
        <v>43454</v>
      </c>
      <c r="M133" s="19">
        <v>43451</v>
      </c>
      <c r="N133" s="16">
        <f>21.6041+9.2589-0.365</f>
        <v>30.498</v>
      </c>
      <c r="O133" s="16"/>
      <c r="P133" s="16"/>
      <c r="Q133" s="19"/>
      <c r="R133" s="19"/>
      <c r="S133" s="16"/>
      <c r="T133" s="50"/>
      <c r="U133" s="16"/>
      <c r="V133" s="16"/>
      <c r="W133" s="16"/>
      <c r="X133" s="21">
        <f t="shared" si="11"/>
        <v>30.498</v>
      </c>
      <c r="Y133" s="86" t="s">
        <v>317</v>
      </c>
      <c r="Z133" s="88" t="s">
        <v>347</v>
      </c>
      <c r="AH133" s="4"/>
    </row>
    <row r="134" spans="1:34" ht="83.25" customHeight="1">
      <c r="A134" s="52">
        <v>128</v>
      </c>
      <c r="B134" s="122" t="s">
        <v>253</v>
      </c>
      <c r="C134" s="123"/>
      <c r="D134" s="123"/>
      <c r="E134" s="124"/>
      <c r="F134" s="76" t="s">
        <v>273</v>
      </c>
      <c r="G134" s="51" t="s">
        <v>160</v>
      </c>
      <c r="H134" s="32"/>
      <c r="I134" s="53">
        <v>42.285</v>
      </c>
      <c r="J134" s="70">
        <v>41.9372</v>
      </c>
      <c r="K134" s="16">
        <v>29.0934</v>
      </c>
      <c r="L134" s="19">
        <v>43454</v>
      </c>
      <c r="M134" s="19">
        <v>43451</v>
      </c>
      <c r="N134" s="16">
        <f>29.0934+12.4686-0.336</f>
        <v>41.226</v>
      </c>
      <c r="O134" s="16"/>
      <c r="P134" s="16"/>
      <c r="Q134" s="19"/>
      <c r="R134" s="19"/>
      <c r="S134" s="16"/>
      <c r="T134" s="50"/>
      <c r="U134" s="16"/>
      <c r="V134" s="16"/>
      <c r="W134" s="16"/>
      <c r="X134" s="21">
        <f t="shared" si="11"/>
        <v>41.226</v>
      </c>
      <c r="Y134" s="86" t="s">
        <v>315</v>
      </c>
      <c r="Z134" s="88" t="s">
        <v>347</v>
      </c>
      <c r="AH134" s="4"/>
    </row>
    <row r="135" spans="1:34" ht="83.25" customHeight="1">
      <c r="A135" s="52">
        <v>129</v>
      </c>
      <c r="B135" s="122" t="s">
        <v>254</v>
      </c>
      <c r="C135" s="123"/>
      <c r="D135" s="123"/>
      <c r="E135" s="124"/>
      <c r="F135" s="76" t="s">
        <v>273</v>
      </c>
      <c r="G135" s="51" t="s">
        <v>262</v>
      </c>
      <c r="H135" s="32"/>
      <c r="I135" s="53">
        <v>26.428</v>
      </c>
      <c r="J135" s="33">
        <v>20.058</v>
      </c>
      <c r="K135" s="16" t="s">
        <v>27</v>
      </c>
      <c r="L135" s="19" t="s">
        <v>27</v>
      </c>
      <c r="M135" s="19" t="s">
        <v>27</v>
      </c>
      <c r="N135" s="16">
        <f>20.058-0.336</f>
        <v>19.722</v>
      </c>
      <c r="O135" s="16"/>
      <c r="P135" s="16"/>
      <c r="Q135" s="19"/>
      <c r="R135" s="19"/>
      <c r="S135" s="16"/>
      <c r="T135" s="50"/>
      <c r="U135" s="16"/>
      <c r="V135" s="16"/>
      <c r="W135" s="16"/>
      <c r="X135" s="21">
        <f t="shared" si="11"/>
        <v>19.722</v>
      </c>
      <c r="Y135" s="86" t="s">
        <v>334</v>
      </c>
      <c r="Z135" s="88" t="s">
        <v>347</v>
      </c>
      <c r="AH135" s="4"/>
    </row>
    <row r="136" spans="1:34" ht="83.25" customHeight="1">
      <c r="A136" s="52">
        <v>130</v>
      </c>
      <c r="B136" s="122" t="s">
        <v>255</v>
      </c>
      <c r="C136" s="123"/>
      <c r="D136" s="123"/>
      <c r="E136" s="124"/>
      <c r="F136" s="76" t="s">
        <v>273</v>
      </c>
      <c r="G136" s="55" t="s">
        <v>160</v>
      </c>
      <c r="H136" s="32"/>
      <c r="I136" s="53">
        <v>20.16</v>
      </c>
      <c r="J136" s="33">
        <v>15.391</v>
      </c>
      <c r="K136" s="16">
        <v>10.7737</v>
      </c>
      <c r="L136" s="19">
        <v>43454</v>
      </c>
      <c r="M136" s="19">
        <v>43439</v>
      </c>
      <c r="N136" s="16">
        <f>10.7737+4.6173-2.074</f>
        <v>13.317</v>
      </c>
      <c r="O136" s="16"/>
      <c r="P136" s="16"/>
      <c r="Q136" s="19"/>
      <c r="R136" s="19"/>
      <c r="S136" s="16"/>
      <c r="T136" s="50"/>
      <c r="U136" s="16"/>
      <c r="V136" s="16"/>
      <c r="W136" s="16"/>
      <c r="X136" s="21">
        <f t="shared" si="11"/>
        <v>13.317</v>
      </c>
      <c r="Y136" s="86" t="s">
        <v>316</v>
      </c>
      <c r="Z136" s="88" t="s">
        <v>347</v>
      </c>
      <c r="AH136" s="4"/>
    </row>
    <row r="137" spans="1:34" ht="83.25" customHeight="1">
      <c r="A137" s="52">
        <v>131</v>
      </c>
      <c r="B137" s="122" t="s">
        <v>256</v>
      </c>
      <c r="C137" s="123"/>
      <c r="D137" s="123"/>
      <c r="E137" s="124"/>
      <c r="F137" s="76" t="s">
        <v>273</v>
      </c>
      <c r="G137" s="51" t="s">
        <v>262</v>
      </c>
      <c r="H137" s="32"/>
      <c r="I137" s="53">
        <v>20.16</v>
      </c>
      <c r="J137" s="33">
        <v>20.16</v>
      </c>
      <c r="K137" s="16" t="s">
        <v>27</v>
      </c>
      <c r="L137" s="19" t="s">
        <v>27</v>
      </c>
      <c r="M137" s="19" t="s">
        <v>27</v>
      </c>
      <c r="N137" s="16">
        <v>20.16</v>
      </c>
      <c r="O137" s="16"/>
      <c r="P137" s="16"/>
      <c r="Q137" s="19"/>
      <c r="R137" s="19"/>
      <c r="S137" s="16"/>
      <c r="T137" s="50"/>
      <c r="U137" s="16"/>
      <c r="V137" s="16"/>
      <c r="W137" s="16"/>
      <c r="X137" s="21">
        <f aca="true" t="shared" si="12" ref="X137:X142">W137+U137+S137+N137</f>
        <v>20.16</v>
      </c>
      <c r="Y137" s="86" t="s">
        <v>335</v>
      </c>
      <c r="Z137" s="88" t="s">
        <v>347</v>
      </c>
      <c r="AH137" s="4"/>
    </row>
    <row r="138" spans="1:34" ht="83.25" customHeight="1">
      <c r="A138" s="52">
        <v>132</v>
      </c>
      <c r="B138" s="122" t="s">
        <v>257</v>
      </c>
      <c r="C138" s="123"/>
      <c r="D138" s="123"/>
      <c r="E138" s="124"/>
      <c r="F138" s="76" t="s">
        <v>273</v>
      </c>
      <c r="G138" s="51" t="s">
        <v>160</v>
      </c>
      <c r="H138" s="32"/>
      <c r="I138" s="53">
        <v>42.743</v>
      </c>
      <c r="J138" s="33">
        <v>30.891</v>
      </c>
      <c r="K138" s="16">
        <v>21.6237</v>
      </c>
      <c r="L138" s="19">
        <v>43454</v>
      </c>
      <c r="M138" s="19">
        <v>43451</v>
      </c>
      <c r="N138" s="16">
        <f>21.6237+9.2673-0.336</f>
        <v>30.555</v>
      </c>
      <c r="O138" s="16"/>
      <c r="P138" s="16"/>
      <c r="Q138" s="19"/>
      <c r="R138" s="19"/>
      <c r="S138" s="16"/>
      <c r="T138" s="50"/>
      <c r="U138" s="16"/>
      <c r="V138" s="16"/>
      <c r="W138" s="16"/>
      <c r="X138" s="21">
        <f t="shared" si="12"/>
        <v>30.555</v>
      </c>
      <c r="Y138" s="86" t="s">
        <v>316</v>
      </c>
      <c r="Z138" s="88" t="s">
        <v>347</v>
      </c>
      <c r="AH138" s="4"/>
    </row>
    <row r="139" spans="1:34" ht="83.25" customHeight="1">
      <c r="A139" s="52">
        <v>133</v>
      </c>
      <c r="B139" s="122" t="s">
        <v>258</v>
      </c>
      <c r="C139" s="123"/>
      <c r="D139" s="123"/>
      <c r="E139" s="124"/>
      <c r="F139" s="76" t="s">
        <v>273</v>
      </c>
      <c r="G139" s="51" t="s">
        <v>262</v>
      </c>
      <c r="H139" s="32"/>
      <c r="I139" s="53">
        <v>74.682</v>
      </c>
      <c r="J139" s="33">
        <v>42.183</v>
      </c>
      <c r="K139" s="16" t="s">
        <v>27</v>
      </c>
      <c r="L139" s="19" t="s">
        <v>27</v>
      </c>
      <c r="M139" s="19" t="s">
        <v>27</v>
      </c>
      <c r="N139" s="16">
        <f>42.183-0.644</f>
        <v>41.539</v>
      </c>
      <c r="O139" s="16"/>
      <c r="P139" s="16"/>
      <c r="Q139" s="19"/>
      <c r="R139" s="19"/>
      <c r="S139" s="16"/>
      <c r="T139" s="50"/>
      <c r="U139" s="16"/>
      <c r="V139" s="16"/>
      <c r="W139" s="16"/>
      <c r="X139" s="21">
        <f t="shared" si="12"/>
        <v>41.539</v>
      </c>
      <c r="Y139" s="86" t="s">
        <v>311</v>
      </c>
      <c r="Z139" s="88" t="s">
        <v>347</v>
      </c>
      <c r="AH139" s="4"/>
    </row>
    <row r="140" spans="1:34" ht="83.25" customHeight="1">
      <c r="A140" s="52">
        <v>134</v>
      </c>
      <c r="B140" s="122" t="s">
        <v>259</v>
      </c>
      <c r="C140" s="123"/>
      <c r="D140" s="123"/>
      <c r="E140" s="124"/>
      <c r="F140" s="76" t="s">
        <v>273</v>
      </c>
      <c r="G140" s="60" t="s">
        <v>262</v>
      </c>
      <c r="H140" s="32"/>
      <c r="I140" s="53">
        <v>42.743</v>
      </c>
      <c r="J140" s="33">
        <v>27.2018</v>
      </c>
      <c r="K140" s="16" t="s">
        <v>27</v>
      </c>
      <c r="L140" s="19" t="s">
        <v>27</v>
      </c>
      <c r="M140" s="19" t="s">
        <v>27</v>
      </c>
      <c r="N140" s="16">
        <f>27.218-0.336</f>
        <v>26.882</v>
      </c>
      <c r="O140" s="16"/>
      <c r="P140" s="16"/>
      <c r="Q140" s="19"/>
      <c r="R140" s="19"/>
      <c r="S140" s="16"/>
      <c r="T140" s="50"/>
      <c r="U140" s="16"/>
      <c r="V140" s="16"/>
      <c r="W140" s="16"/>
      <c r="X140" s="21">
        <f t="shared" si="12"/>
        <v>26.882</v>
      </c>
      <c r="Y140" s="86" t="s">
        <v>332</v>
      </c>
      <c r="Z140" s="88" t="s">
        <v>347</v>
      </c>
      <c r="AH140" s="4"/>
    </row>
    <row r="141" spans="1:34" ht="83.25" customHeight="1">
      <c r="A141" s="52">
        <v>135</v>
      </c>
      <c r="B141" s="122" t="s">
        <v>260</v>
      </c>
      <c r="C141" s="123"/>
      <c r="D141" s="123"/>
      <c r="E141" s="124"/>
      <c r="F141" s="76" t="s">
        <v>273</v>
      </c>
      <c r="G141" s="60" t="s">
        <v>262</v>
      </c>
      <c r="H141" s="32"/>
      <c r="I141" s="53">
        <v>26.714</v>
      </c>
      <c r="J141" s="33">
        <v>22.987</v>
      </c>
      <c r="K141" s="16">
        <v>16.0909</v>
      </c>
      <c r="L141" s="19">
        <v>43454</v>
      </c>
      <c r="M141" s="19">
        <v>43451</v>
      </c>
      <c r="N141" s="16">
        <f>16.0909+6.8961-0.373</f>
        <v>22.614</v>
      </c>
      <c r="O141" s="16"/>
      <c r="P141" s="16"/>
      <c r="Q141" s="19"/>
      <c r="R141" s="19"/>
      <c r="S141" s="16"/>
      <c r="T141" s="50"/>
      <c r="U141" s="16"/>
      <c r="V141" s="16"/>
      <c r="W141" s="16"/>
      <c r="X141" s="21">
        <f t="shared" si="12"/>
        <v>22.614</v>
      </c>
      <c r="Y141" s="86" t="s">
        <v>332</v>
      </c>
      <c r="Z141" s="88" t="s">
        <v>347</v>
      </c>
      <c r="AH141" s="4"/>
    </row>
    <row r="142" spans="1:34" ht="83.25" customHeight="1">
      <c r="A142" s="52">
        <v>136</v>
      </c>
      <c r="B142" s="122" t="s">
        <v>261</v>
      </c>
      <c r="C142" s="123"/>
      <c r="D142" s="123"/>
      <c r="E142" s="124"/>
      <c r="F142" s="76" t="s">
        <v>273</v>
      </c>
      <c r="G142" s="60" t="s">
        <v>262</v>
      </c>
      <c r="H142" s="32"/>
      <c r="I142" s="53">
        <v>20.16</v>
      </c>
      <c r="J142" s="33">
        <v>13.857</v>
      </c>
      <c r="K142" s="16">
        <v>9.6999</v>
      </c>
      <c r="L142" s="19">
        <v>43454</v>
      </c>
      <c r="M142" s="19">
        <v>43451</v>
      </c>
      <c r="N142" s="16">
        <f>9.6999+4.1571</f>
        <v>13.857</v>
      </c>
      <c r="O142" s="16"/>
      <c r="P142" s="16"/>
      <c r="Q142" s="19"/>
      <c r="R142" s="19"/>
      <c r="S142" s="16"/>
      <c r="T142" s="50"/>
      <c r="U142" s="16"/>
      <c r="V142" s="16"/>
      <c r="W142" s="16"/>
      <c r="X142" s="21">
        <f t="shared" si="12"/>
        <v>13.857</v>
      </c>
      <c r="Y142" s="86" t="s">
        <v>336</v>
      </c>
      <c r="Z142" s="88" t="s">
        <v>347</v>
      </c>
      <c r="AH142" s="4"/>
    </row>
    <row r="143" spans="1:34" ht="83.25" customHeight="1">
      <c r="A143" s="52">
        <v>195</v>
      </c>
      <c r="B143" s="122" t="s">
        <v>161</v>
      </c>
      <c r="C143" s="123"/>
      <c r="D143" s="123"/>
      <c r="E143" s="124"/>
      <c r="F143" s="76" t="s">
        <v>274</v>
      </c>
      <c r="G143" s="8" t="s">
        <v>299</v>
      </c>
      <c r="H143" s="14">
        <v>1450</v>
      </c>
      <c r="I143" s="35">
        <v>1450</v>
      </c>
      <c r="J143" s="1">
        <v>46.6256</v>
      </c>
      <c r="K143" s="16">
        <v>13.98768</v>
      </c>
      <c r="L143" s="19">
        <v>43258</v>
      </c>
      <c r="M143" s="19">
        <v>43255</v>
      </c>
      <c r="N143" s="16">
        <v>46.6256</v>
      </c>
      <c r="O143" s="16">
        <v>1355.9792</v>
      </c>
      <c r="P143" s="16">
        <v>406.79376</v>
      </c>
      <c r="Q143" s="19">
        <v>43385</v>
      </c>
      <c r="R143" s="19">
        <v>43370</v>
      </c>
      <c r="S143" s="16">
        <f>406.79376+637.09031+261.92891+36.84236+13.32386</f>
        <v>1355.9792000000002</v>
      </c>
      <c r="T143" s="16">
        <v>21.9702</v>
      </c>
      <c r="U143" s="16">
        <f>17.04683+4.16437+0.759</f>
        <v>21.9702</v>
      </c>
      <c r="V143" s="16">
        <v>4.104</v>
      </c>
      <c r="W143" s="16">
        <v>4.104</v>
      </c>
      <c r="X143" s="21">
        <f>W143+U143+S143+N143</f>
        <v>1428.6790000000003</v>
      </c>
      <c r="Y143" s="86" t="s">
        <v>323</v>
      </c>
      <c r="Z143" s="88" t="s">
        <v>347</v>
      </c>
      <c r="AH143" s="4"/>
    </row>
    <row r="144" spans="1:34" ht="66.75" customHeight="1">
      <c r="A144" s="52">
        <v>200</v>
      </c>
      <c r="B144" s="125" t="s">
        <v>181</v>
      </c>
      <c r="C144" s="125" t="s">
        <v>156</v>
      </c>
      <c r="D144" s="125" t="s">
        <v>156</v>
      </c>
      <c r="E144" s="125" t="s">
        <v>156</v>
      </c>
      <c r="F144" s="76" t="s">
        <v>273</v>
      </c>
      <c r="G144" s="37" t="s">
        <v>29</v>
      </c>
      <c r="H144" s="20"/>
      <c r="I144" s="14">
        <v>384</v>
      </c>
      <c r="J144" s="1">
        <v>333.7248</v>
      </c>
      <c r="K144" s="16">
        <v>100.11744</v>
      </c>
      <c r="L144" s="19">
        <v>43434</v>
      </c>
      <c r="M144" s="19">
        <v>43429</v>
      </c>
      <c r="N144" s="16">
        <f>100.11744+233.60736</f>
        <v>333.7248</v>
      </c>
      <c r="O144" s="16"/>
      <c r="P144" s="16"/>
      <c r="Q144" s="19"/>
      <c r="R144" s="19"/>
      <c r="S144" s="16"/>
      <c r="T144" s="16"/>
      <c r="U144" s="16"/>
      <c r="V144" s="16"/>
      <c r="W144" s="16"/>
      <c r="X144" s="21">
        <f>W144+U144+S144+N144</f>
        <v>333.7248</v>
      </c>
      <c r="Y144" s="86" t="s">
        <v>311</v>
      </c>
      <c r="Z144" s="88" t="s">
        <v>347</v>
      </c>
      <c r="AH144" s="4"/>
    </row>
    <row r="145" spans="1:34" ht="62.25" customHeight="1">
      <c r="A145" s="52">
        <v>201</v>
      </c>
      <c r="B145" s="125" t="s">
        <v>182</v>
      </c>
      <c r="C145" s="125" t="s">
        <v>156</v>
      </c>
      <c r="D145" s="125" t="s">
        <v>156</v>
      </c>
      <c r="E145" s="125" t="s">
        <v>156</v>
      </c>
      <c r="F145" s="76" t="s">
        <v>273</v>
      </c>
      <c r="G145" s="37" t="s">
        <v>160</v>
      </c>
      <c r="H145" s="20"/>
      <c r="I145" s="14">
        <v>850</v>
      </c>
      <c r="J145" s="1">
        <v>849.103</v>
      </c>
      <c r="K145" s="16">
        <v>254.731</v>
      </c>
      <c r="L145" s="19">
        <v>43328</v>
      </c>
      <c r="M145" s="19">
        <v>43325</v>
      </c>
      <c r="N145" s="16">
        <f>254.7309+254.7309</f>
        <v>509.4618</v>
      </c>
      <c r="O145" s="16"/>
      <c r="P145" s="16"/>
      <c r="Q145" s="19"/>
      <c r="R145" s="19"/>
      <c r="S145" s="16"/>
      <c r="T145" s="16"/>
      <c r="U145" s="16"/>
      <c r="V145" s="16"/>
      <c r="W145" s="16"/>
      <c r="X145" s="21">
        <f>W145+U145+S145+N145</f>
        <v>509.4618</v>
      </c>
      <c r="Y145" s="86" t="s">
        <v>315</v>
      </c>
      <c r="Z145" s="88" t="s">
        <v>347</v>
      </c>
      <c r="AH145" s="4"/>
    </row>
    <row r="146" spans="1:34" ht="58.5" customHeight="1">
      <c r="A146" s="52">
        <v>202</v>
      </c>
      <c r="B146" s="125" t="s">
        <v>190</v>
      </c>
      <c r="C146" s="125" t="s">
        <v>156</v>
      </c>
      <c r="D146" s="125" t="s">
        <v>156</v>
      </c>
      <c r="E146" s="125" t="s">
        <v>156</v>
      </c>
      <c r="F146" s="76" t="s">
        <v>273</v>
      </c>
      <c r="G146" s="37" t="s">
        <v>183</v>
      </c>
      <c r="H146" s="20"/>
      <c r="I146" s="14">
        <v>600</v>
      </c>
      <c r="J146" s="1">
        <v>599.99905</v>
      </c>
      <c r="K146" s="16">
        <v>179.99972</v>
      </c>
      <c r="L146" s="19">
        <v>43325</v>
      </c>
      <c r="M146" s="19">
        <v>43325</v>
      </c>
      <c r="N146" s="16">
        <v>179.99972</v>
      </c>
      <c r="O146" s="16"/>
      <c r="P146" s="16"/>
      <c r="Q146" s="19"/>
      <c r="R146" s="19"/>
      <c r="S146" s="16"/>
      <c r="T146" s="16"/>
      <c r="U146" s="16"/>
      <c r="V146" s="16"/>
      <c r="W146" s="16"/>
      <c r="X146" s="21">
        <f>W146+U146+S146+N146</f>
        <v>179.99972</v>
      </c>
      <c r="Y146" s="86" t="s">
        <v>308</v>
      </c>
      <c r="Z146" s="88" t="s">
        <v>347</v>
      </c>
      <c r="AH146" s="4"/>
    </row>
    <row r="147" spans="1:34" ht="62.25" customHeight="1">
      <c r="A147" s="52">
        <v>203</v>
      </c>
      <c r="B147" s="125" t="s">
        <v>184</v>
      </c>
      <c r="C147" s="125" t="s">
        <v>156</v>
      </c>
      <c r="D147" s="125" t="s">
        <v>156</v>
      </c>
      <c r="E147" s="125" t="s">
        <v>156</v>
      </c>
      <c r="F147" s="76" t="s">
        <v>273</v>
      </c>
      <c r="G147" s="37" t="s">
        <v>185</v>
      </c>
      <c r="H147" s="20"/>
      <c r="I147" s="14">
        <v>350</v>
      </c>
      <c r="J147" s="1">
        <v>316.397</v>
      </c>
      <c r="K147" s="16" t="s">
        <v>27</v>
      </c>
      <c r="L147" s="19" t="s">
        <v>27</v>
      </c>
      <c r="M147" s="19" t="s">
        <v>27</v>
      </c>
      <c r="N147" s="16">
        <f>94.9191+94.9191+126.5588</f>
        <v>316.397</v>
      </c>
      <c r="O147" s="16"/>
      <c r="P147" s="16"/>
      <c r="Q147" s="19"/>
      <c r="R147" s="19"/>
      <c r="S147" s="16"/>
      <c r="T147" s="16"/>
      <c r="U147" s="16"/>
      <c r="V147" s="16"/>
      <c r="W147" s="16"/>
      <c r="X147" s="21">
        <f>W147+U147+S147+N147</f>
        <v>316.397</v>
      </c>
      <c r="Y147" s="86" t="s">
        <v>323</v>
      </c>
      <c r="Z147" s="88" t="s">
        <v>347</v>
      </c>
      <c r="AH147" s="4"/>
    </row>
    <row r="148" spans="1:34" s="3" customFormat="1" ht="15.75">
      <c r="A148" s="9"/>
      <c r="B148" s="9"/>
      <c r="C148" s="9"/>
      <c r="D148" s="9"/>
      <c r="E148" s="9"/>
      <c r="F148" s="84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50"/>
      <c r="AA148" s="2"/>
      <c r="AB148" s="2"/>
      <c r="AC148" s="2"/>
      <c r="AD148" s="2"/>
      <c r="AE148" s="2"/>
      <c r="AF148" s="2"/>
      <c r="AG148" s="2"/>
      <c r="AH148" s="2"/>
    </row>
    <row r="149" spans="1:34" s="3" customFormat="1" ht="15.75">
      <c r="A149" s="9"/>
      <c r="B149" s="2"/>
      <c r="C149" s="2"/>
      <c r="D149" s="9"/>
      <c r="E149" s="9"/>
      <c r="F149" s="84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50"/>
      <c r="AA149" s="2"/>
      <c r="AB149" s="2"/>
      <c r="AC149" s="2"/>
      <c r="AD149" s="2"/>
      <c r="AE149" s="2"/>
      <c r="AF149" s="2"/>
      <c r="AG149" s="2"/>
      <c r="AH149" s="2"/>
    </row>
    <row r="150" spans="1:34" s="3" customFormat="1" ht="15.75">
      <c r="A150" s="9"/>
      <c r="B150" s="9"/>
      <c r="C150" s="9"/>
      <c r="D150" s="9"/>
      <c r="E150" s="9"/>
      <c r="F150" s="84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>
        <v>3132</v>
      </c>
      <c r="X150" s="59"/>
      <c r="Y150" s="150"/>
      <c r="AA150" s="2"/>
      <c r="AB150" s="2"/>
      <c r="AC150" s="2"/>
      <c r="AD150" s="2"/>
      <c r="AE150" s="2"/>
      <c r="AF150" s="2"/>
      <c r="AG150" s="2"/>
      <c r="AH150" s="2"/>
    </row>
    <row r="151" spans="1:34" s="3" customFormat="1" ht="15.75">
      <c r="A151" s="9"/>
      <c r="B151" s="9"/>
      <c r="C151" s="9"/>
      <c r="D151" s="9"/>
      <c r="E151" s="9"/>
      <c r="F151" s="84"/>
      <c r="G151" s="9"/>
      <c r="H151" s="9"/>
      <c r="I151" s="9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9"/>
      <c r="U151" s="9"/>
      <c r="V151" s="11"/>
      <c r="W151" s="11">
        <v>3131</v>
      </c>
      <c r="X151" s="59"/>
      <c r="Y151" s="151"/>
      <c r="AA151" s="2"/>
      <c r="AB151" s="2"/>
      <c r="AC151" s="2"/>
      <c r="AD151" s="2"/>
      <c r="AE151" s="2"/>
      <c r="AF151" s="2"/>
      <c r="AG151" s="2"/>
      <c r="AH151" s="2"/>
    </row>
    <row r="152" spans="1:34" s="3" customFormat="1" ht="15.75">
      <c r="A152" s="9"/>
      <c r="B152" s="9"/>
      <c r="C152" s="9"/>
      <c r="D152" s="9"/>
      <c r="E152" s="9"/>
      <c r="F152" s="84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50"/>
      <c r="AA152" s="2"/>
      <c r="AB152" s="2"/>
      <c r="AC152" s="2"/>
      <c r="AD152" s="2"/>
      <c r="AE152" s="2"/>
      <c r="AF152" s="2"/>
      <c r="AG152" s="2"/>
      <c r="AH152" s="2"/>
    </row>
    <row r="153" spans="1:34" s="3" customFormat="1" ht="15.75">
      <c r="A153" s="9"/>
      <c r="B153" s="9"/>
      <c r="C153" s="9"/>
      <c r="D153" s="9"/>
      <c r="E153" s="9"/>
      <c r="F153" s="84"/>
      <c r="G153" s="9"/>
      <c r="H153" s="9"/>
      <c r="I153" s="9"/>
      <c r="J153" s="9"/>
      <c r="K153" s="9"/>
      <c r="L153" s="9"/>
      <c r="M153" s="9"/>
      <c r="N153" s="9"/>
      <c r="O153" s="12"/>
      <c r="P153" s="12"/>
      <c r="Q153" s="12"/>
      <c r="R153" s="12"/>
      <c r="S153" s="12"/>
      <c r="T153" s="9"/>
      <c r="U153" s="9"/>
      <c r="V153" s="9"/>
      <c r="W153" s="9"/>
      <c r="X153" s="9"/>
      <c r="Y153" s="150"/>
      <c r="AA153" s="2"/>
      <c r="AB153" s="2"/>
      <c r="AC153" s="2"/>
      <c r="AD153" s="2"/>
      <c r="AE153" s="2"/>
      <c r="AF153" s="2"/>
      <c r="AG153" s="2"/>
      <c r="AH153" s="2"/>
    </row>
    <row r="154" spans="1:34" s="3" customFormat="1" ht="15.75">
      <c r="A154" s="9"/>
      <c r="B154" s="9"/>
      <c r="C154" s="9"/>
      <c r="D154" s="9"/>
      <c r="E154" s="9"/>
      <c r="F154" s="84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50"/>
      <c r="AA154" s="2"/>
      <c r="AB154" s="2"/>
      <c r="AC154" s="2"/>
      <c r="AD154" s="2"/>
      <c r="AE154" s="2"/>
      <c r="AF154" s="2"/>
      <c r="AG154" s="2"/>
      <c r="AH154" s="2"/>
    </row>
    <row r="155" spans="1:34" s="3" customFormat="1" ht="15.75">
      <c r="A155" s="9"/>
      <c r="B155" s="9"/>
      <c r="C155" s="9"/>
      <c r="D155" s="9"/>
      <c r="E155" s="9"/>
      <c r="F155" s="84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50"/>
      <c r="AA155" s="2"/>
      <c r="AB155" s="2"/>
      <c r="AC155" s="2"/>
      <c r="AD155" s="2"/>
      <c r="AE155" s="2"/>
      <c r="AF155" s="2"/>
      <c r="AG155" s="2"/>
      <c r="AH155" s="2"/>
    </row>
    <row r="156" spans="1:34" s="3" customFormat="1" ht="15.75">
      <c r="A156" s="9"/>
      <c r="B156" s="9"/>
      <c r="C156" s="9"/>
      <c r="D156" s="9"/>
      <c r="E156" s="9"/>
      <c r="F156" s="84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50"/>
      <c r="AA156" s="2"/>
      <c r="AB156" s="2"/>
      <c r="AC156" s="2"/>
      <c r="AD156" s="2"/>
      <c r="AE156" s="2"/>
      <c r="AF156" s="2"/>
      <c r="AG156" s="2"/>
      <c r="AH156" s="2"/>
    </row>
    <row r="157" spans="1:34" s="3" customFormat="1" ht="15.75">
      <c r="A157" s="9"/>
      <c r="B157" s="9"/>
      <c r="C157" s="9"/>
      <c r="D157" s="9"/>
      <c r="E157" s="9"/>
      <c r="F157" s="84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50"/>
      <c r="AA157" s="2"/>
      <c r="AB157" s="2"/>
      <c r="AC157" s="2"/>
      <c r="AD157" s="2"/>
      <c r="AE157" s="2"/>
      <c r="AF157" s="2"/>
      <c r="AG157" s="2"/>
      <c r="AH157" s="2"/>
    </row>
    <row r="158" spans="1:34" s="3" customFormat="1" ht="15.75">
      <c r="A158" s="9"/>
      <c r="B158" s="9"/>
      <c r="C158" s="9"/>
      <c r="D158" s="9"/>
      <c r="E158" s="9"/>
      <c r="F158" s="84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50"/>
      <c r="AA158" s="2"/>
      <c r="AB158" s="2"/>
      <c r="AC158" s="2"/>
      <c r="AD158" s="2"/>
      <c r="AE158" s="2"/>
      <c r="AF158" s="2"/>
      <c r="AG158" s="2"/>
      <c r="AH158" s="2"/>
    </row>
    <row r="159" spans="1:34" s="3" customFormat="1" ht="15.75">
      <c r="A159" s="9"/>
      <c r="B159" s="9"/>
      <c r="C159" s="9"/>
      <c r="D159" s="9"/>
      <c r="E159" s="9"/>
      <c r="F159" s="84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50"/>
      <c r="AA159" s="2"/>
      <c r="AB159" s="2"/>
      <c r="AC159" s="2"/>
      <c r="AD159" s="2"/>
      <c r="AE159" s="2"/>
      <c r="AF159" s="2"/>
      <c r="AG159" s="2"/>
      <c r="AH159" s="2"/>
    </row>
    <row r="160" spans="1:34" s="3" customFormat="1" ht="15.75">
      <c r="A160" s="9"/>
      <c r="B160" s="9"/>
      <c r="C160" s="9"/>
      <c r="D160" s="9"/>
      <c r="E160" s="9"/>
      <c r="F160" s="84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50"/>
      <c r="AA160" s="2"/>
      <c r="AB160" s="2"/>
      <c r="AC160" s="2"/>
      <c r="AD160" s="2"/>
      <c r="AE160" s="2"/>
      <c r="AF160" s="2"/>
      <c r="AG160" s="2"/>
      <c r="AH160" s="2"/>
    </row>
    <row r="161" spans="1:34" s="3" customFormat="1" ht="15.75">
      <c r="A161" s="9"/>
      <c r="B161" s="9"/>
      <c r="C161" s="9"/>
      <c r="D161" s="9"/>
      <c r="E161" s="9"/>
      <c r="F161" s="84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3"/>
      <c r="Y161" s="150"/>
      <c r="AA161" s="2"/>
      <c r="AB161" s="2"/>
      <c r="AC161" s="2"/>
      <c r="AD161" s="2"/>
      <c r="AE161" s="2"/>
      <c r="AF161" s="2"/>
      <c r="AG161" s="2"/>
      <c r="AH161" s="2"/>
    </row>
    <row r="162" spans="1:34" s="3" customFormat="1" ht="15.75">
      <c r="A162" s="9"/>
      <c r="B162" s="9"/>
      <c r="C162" s="9"/>
      <c r="D162" s="9"/>
      <c r="E162" s="9"/>
      <c r="F162" s="84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50"/>
      <c r="AA162" s="2"/>
      <c r="AB162" s="2"/>
      <c r="AC162" s="2"/>
      <c r="AD162" s="2"/>
      <c r="AE162" s="2"/>
      <c r="AF162" s="2"/>
      <c r="AG162" s="2"/>
      <c r="AH162" s="2"/>
    </row>
    <row r="163" spans="1:34" s="3" customFormat="1" ht="15.75">
      <c r="A163" s="9"/>
      <c r="B163" s="9"/>
      <c r="C163" s="9"/>
      <c r="D163" s="9"/>
      <c r="E163" s="9"/>
      <c r="F163" s="84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50"/>
      <c r="AA163" s="2"/>
      <c r="AB163" s="2"/>
      <c r="AC163" s="2"/>
      <c r="AD163" s="2"/>
      <c r="AE163" s="2"/>
      <c r="AF163" s="2"/>
      <c r="AG163" s="2"/>
      <c r="AH163" s="2"/>
    </row>
    <row r="164" spans="1:34" s="3" customFormat="1" ht="15.75">
      <c r="A164" s="9"/>
      <c r="B164" s="9"/>
      <c r="C164" s="9"/>
      <c r="D164" s="9"/>
      <c r="E164" s="9"/>
      <c r="F164" s="84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50"/>
      <c r="AA164" s="2"/>
      <c r="AB164" s="2"/>
      <c r="AC164" s="2"/>
      <c r="AD164" s="2"/>
      <c r="AE164" s="2"/>
      <c r="AF164" s="2"/>
      <c r="AG164" s="2"/>
      <c r="AH164" s="2"/>
    </row>
    <row r="165" spans="1:34" s="3" customFormat="1" ht="15.75">
      <c r="A165" s="9"/>
      <c r="B165" s="9"/>
      <c r="C165" s="9"/>
      <c r="D165" s="9"/>
      <c r="E165" s="9"/>
      <c r="F165" s="84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50"/>
      <c r="AA165" s="2"/>
      <c r="AB165" s="2"/>
      <c r="AC165" s="2"/>
      <c r="AD165" s="2"/>
      <c r="AE165" s="2"/>
      <c r="AF165" s="2"/>
      <c r="AG165" s="2"/>
      <c r="AH165" s="2"/>
    </row>
    <row r="166" spans="1:34" s="3" customFormat="1" ht="15.75">
      <c r="A166" s="9"/>
      <c r="B166" s="9"/>
      <c r="C166" s="9"/>
      <c r="D166" s="9"/>
      <c r="E166" s="9"/>
      <c r="F166" s="84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50"/>
      <c r="AA166" s="2"/>
      <c r="AB166" s="2"/>
      <c r="AC166" s="2"/>
      <c r="AD166" s="2"/>
      <c r="AE166" s="2"/>
      <c r="AF166" s="2"/>
      <c r="AG166" s="2"/>
      <c r="AH166" s="2"/>
    </row>
    <row r="167" spans="1:34" s="3" customFormat="1" ht="15.75">
      <c r="A167" s="9"/>
      <c r="B167" s="9"/>
      <c r="C167" s="9"/>
      <c r="D167" s="9"/>
      <c r="E167" s="9"/>
      <c r="F167" s="84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50"/>
      <c r="AA167" s="2"/>
      <c r="AB167" s="2"/>
      <c r="AC167" s="2"/>
      <c r="AD167" s="2"/>
      <c r="AE167" s="2"/>
      <c r="AF167" s="2"/>
      <c r="AG167" s="2"/>
      <c r="AH167" s="2"/>
    </row>
    <row r="168" spans="1:34" s="3" customFormat="1" ht="15.75">
      <c r="A168" s="9"/>
      <c r="B168" s="9"/>
      <c r="C168" s="9"/>
      <c r="D168" s="9"/>
      <c r="E168" s="9"/>
      <c r="F168" s="84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50"/>
      <c r="AA168" s="2"/>
      <c r="AB168" s="2"/>
      <c r="AC168" s="2"/>
      <c r="AD168" s="2"/>
      <c r="AE168" s="2"/>
      <c r="AF168" s="2"/>
      <c r="AG168" s="2"/>
      <c r="AH168" s="2"/>
    </row>
    <row r="169" spans="1:34" s="3" customFormat="1" ht="15.75">
      <c r="A169" s="9"/>
      <c r="B169" s="9"/>
      <c r="C169" s="9"/>
      <c r="D169" s="9"/>
      <c r="E169" s="9"/>
      <c r="F169" s="84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50"/>
      <c r="AA169" s="2"/>
      <c r="AB169" s="2"/>
      <c r="AC169" s="2"/>
      <c r="AD169" s="2"/>
      <c r="AE169" s="2"/>
      <c r="AF169" s="2"/>
      <c r="AG169" s="2"/>
      <c r="AH169" s="2"/>
    </row>
    <row r="170" spans="1:34" s="3" customFormat="1" ht="15.75">
      <c r="A170" s="9"/>
      <c r="B170" s="9"/>
      <c r="C170" s="9"/>
      <c r="D170" s="9"/>
      <c r="E170" s="9"/>
      <c r="F170" s="84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50"/>
      <c r="AA170" s="2"/>
      <c r="AB170" s="2"/>
      <c r="AC170" s="2"/>
      <c r="AD170" s="2"/>
      <c r="AE170" s="2"/>
      <c r="AF170" s="2"/>
      <c r="AG170" s="2"/>
      <c r="AH170" s="2"/>
    </row>
    <row r="171" spans="1:34" s="3" customFormat="1" ht="15.75">
      <c r="A171" s="9"/>
      <c r="B171" s="9"/>
      <c r="C171" s="9"/>
      <c r="D171" s="9"/>
      <c r="E171" s="9"/>
      <c r="F171" s="84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50"/>
      <c r="AA171" s="2"/>
      <c r="AB171" s="2"/>
      <c r="AC171" s="2"/>
      <c r="AD171" s="2"/>
      <c r="AE171" s="2"/>
      <c r="AF171" s="2"/>
      <c r="AG171" s="2"/>
      <c r="AH171" s="2"/>
    </row>
    <row r="172" spans="1:34" s="3" customFormat="1" ht="15.75">
      <c r="A172" s="9"/>
      <c r="B172" s="9"/>
      <c r="C172" s="9"/>
      <c r="D172" s="9"/>
      <c r="E172" s="9"/>
      <c r="F172" s="84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50"/>
      <c r="AA172" s="2"/>
      <c r="AB172" s="2"/>
      <c r="AC172" s="2"/>
      <c r="AD172" s="2"/>
      <c r="AE172" s="2"/>
      <c r="AF172" s="2"/>
      <c r="AG172" s="2"/>
      <c r="AH172" s="2"/>
    </row>
    <row r="173" spans="1:34" s="3" customFormat="1" ht="15.75">
      <c r="A173" s="9"/>
      <c r="B173" s="9"/>
      <c r="C173" s="9"/>
      <c r="D173" s="9"/>
      <c r="E173" s="9"/>
      <c r="F173" s="84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50"/>
      <c r="AA173" s="2"/>
      <c r="AB173" s="2"/>
      <c r="AC173" s="2"/>
      <c r="AD173" s="2"/>
      <c r="AE173" s="2"/>
      <c r="AF173" s="2"/>
      <c r="AG173" s="2"/>
      <c r="AH173" s="2"/>
    </row>
    <row r="174" spans="1:34" s="3" customFormat="1" ht="15.75">
      <c r="A174" s="9"/>
      <c r="B174" s="9"/>
      <c r="C174" s="9"/>
      <c r="D174" s="9"/>
      <c r="E174" s="9"/>
      <c r="F174" s="84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50"/>
      <c r="AA174" s="2"/>
      <c r="AB174" s="2"/>
      <c r="AC174" s="2"/>
      <c r="AD174" s="2"/>
      <c r="AE174" s="2"/>
      <c r="AF174" s="2"/>
      <c r="AG174" s="2"/>
      <c r="AH174" s="2"/>
    </row>
    <row r="175" spans="1:34" s="3" customFormat="1" ht="15.75">
      <c r="A175" s="9"/>
      <c r="B175" s="9"/>
      <c r="C175" s="9"/>
      <c r="D175" s="9"/>
      <c r="E175" s="9"/>
      <c r="F175" s="84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50"/>
      <c r="AA175" s="2"/>
      <c r="AB175" s="2"/>
      <c r="AC175" s="2"/>
      <c r="AD175" s="2"/>
      <c r="AE175" s="2"/>
      <c r="AF175" s="2"/>
      <c r="AG175" s="2"/>
      <c r="AH175" s="2"/>
    </row>
    <row r="176" spans="1:34" s="3" customFormat="1" ht="15.75">
      <c r="A176" s="9"/>
      <c r="B176" s="9"/>
      <c r="C176" s="9"/>
      <c r="D176" s="9"/>
      <c r="E176" s="9"/>
      <c r="F176" s="84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50"/>
      <c r="AA176" s="2"/>
      <c r="AB176" s="2"/>
      <c r="AC176" s="2"/>
      <c r="AD176" s="2"/>
      <c r="AE176" s="2"/>
      <c r="AF176" s="2"/>
      <c r="AG176" s="2"/>
      <c r="AH176" s="2"/>
    </row>
    <row r="177" spans="1:34" s="3" customFormat="1" ht="15.75">
      <c r="A177" s="9"/>
      <c r="B177" s="9"/>
      <c r="C177" s="9"/>
      <c r="D177" s="9"/>
      <c r="E177" s="9"/>
      <c r="F177" s="84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50"/>
      <c r="AA177" s="2"/>
      <c r="AB177" s="2"/>
      <c r="AC177" s="2"/>
      <c r="AD177" s="2"/>
      <c r="AE177" s="2"/>
      <c r="AF177" s="2"/>
      <c r="AG177" s="2"/>
      <c r="AH177" s="2"/>
    </row>
    <row r="178" spans="1:34" s="3" customFormat="1" ht="15.75">
      <c r="A178" s="9"/>
      <c r="B178" s="9"/>
      <c r="C178" s="9"/>
      <c r="D178" s="9"/>
      <c r="E178" s="9"/>
      <c r="F178" s="84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50"/>
      <c r="AA178" s="2"/>
      <c r="AB178" s="2"/>
      <c r="AC178" s="2"/>
      <c r="AD178" s="2"/>
      <c r="AE178" s="2"/>
      <c r="AF178" s="2"/>
      <c r="AG178" s="2"/>
      <c r="AH178" s="2"/>
    </row>
    <row r="179" spans="1:34" s="3" customFormat="1" ht="15.75">
      <c r="A179" s="9"/>
      <c r="B179" s="9"/>
      <c r="C179" s="9"/>
      <c r="D179" s="9"/>
      <c r="E179" s="9"/>
      <c r="F179" s="84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50"/>
      <c r="AA179" s="2"/>
      <c r="AB179" s="2"/>
      <c r="AC179" s="2"/>
      <c r="AD179" s="2"/>
      <c r="AE179" s="2"/>
      <c r="AF179" s="2"/>
      <c r="AG179" s="2"/>
      <c r="AH179" s="2"/>
    </row>
    <row r="180" spans="1:34" s="3" customFormat="1" ht="15.75">
      <c r="A180" s="9"/>
      <c r="B180" s="9"/>
      <c r="C180" s="9"/>
      <c r="D180" s="9"/>
      <c r="E180" s="9"/>
      <c r="F180" s="84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50"/>
      <c r="AA180" s="2"/>
      <c r="AB180" s="2"/>
      <c r="AC180" s="2"/>
      <c r="AD180" s="2"/>
      <c r="AE180" s="2"/>
      <c r="AF180" s="2"/>
      <c r="AG180" s="2"/>
      <c r="AH180" s="2"/>
    </row>
    <row r="181" spans="1:34" s="3" customFormat="1" ht="15.75">
      <c r="A181" s="9"/>
      <c r="B181" s="9"/>
      <c r="C181" s="9"/>
      <c r="D181" s="9"/>
      <c r="E181" s="9"/>
      <c r="F181" s="84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50"/>
      <c r="AA181" s="2"/>
      <c r="AB181" s="2"/>
      <c r="AC181" s="2"/>
      <c r="AD181" s="2"/>
      <c r="AE181" s="2"/>
      <c r="AF181" s="2"/>
      <c r="AG181" s="2"/>
      <c r="AH181" s="2"/>
    </row>
    <row r="182" spans="1:34" s="3" customFormat="1" ht="15.75">
      <c r="A182" s="9"/>
      <c r="B182" s="9"/>
      <c r="C182" s="9"/>
      <c r="D182" s="9"/>
      <c r="E182" s="9"/>
      <c r="F182" s="84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50"/>
      <c r="AA182" s="2"/>
      <c r="AB182" s="2"/>
      <c r="AC182" s="2"/>
      <c r="AD182" s="2"/>
      <c r="AE182" s="2"/>
      <c r="AF182" s="2"/>
      <c r="AG182" s="2"/>
      <c r="AH182" s="2"/>
    </row>
    <row r="183" spans="1:34" s="3" customFormat="1" ht="15.75">
      <c r="A183" s="9"/>
      <c r="B183" s="9"/>
      <c r="C183" s="9"/>
      <c r="D183" s="9"/>
      <c r="E183" s="9"/>
      <c r="F183" s="84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50"/>
      <c r="AA183" s="2"/>
      <c r="AB183" s="2"/>
      <c r="AC183" s="2"/>
      <c r="AD183" s="2"/>
      <c r="AE183" s="2"/>
      <c r="AF183" s="2"/>
      <c r="AG183" s="2"/>
      <c r="AH183" s="2"/>
    </row>
    <row r="184" spans="1:34" s="3" customFormat="1" ht="15.75">
      <c r="A184" s="9"/>
      <c r="B184" s="9"/>
      <c r="C184" s="9"/>
      <c r="D184" s="9"/>
      <c r="E184" s="9"/>
      <c r="F184" s="84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50"/>
      <c r="AA184" s="2"/>
      <c r="AB184" s="2"/>
      <c r="AC184" s="2"/>
      <c r="AD184" s="2"/>
      <c r="AE184" s="2"/>
      <c r="AF184" s="2"/>
      <c r="AG184" s="2"/>
      <c r="AH184" s="2"/>
    </row>
    <row r="185" spans="1:34" s="3" customFormat="1" ht="15.75">
      <c r="A185" s="9"/>
      <c r="B185" s="9"/>
      <c r="C185" s="9"/>
      <c r="D185" s="9"/>
      <c r="E185" s="9"/>
      <c r="F185" s="84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50"/>
      <c r="AA185" s="2"/>
      <c r="AB185" s="2"/>
      <c r="AC185" s="2"/>
      <c r="AD185" s="2"/>
      <c r="AE185" s="2"/>
      <c r="AF185" s="2"/>
      <c r="AG185" s="2"/>
      <c r="AH185" s="2"/>
    </row>
    <row r="186" spans="1:34" s="3" customFormat="1" ht="15.75">
      <c r="A186" s="9"/>
      <c r="B186" s="9"/>
      <c r="C186" s="9"/>
      <c r="D186" s="9"/>
      <c r="E186" s="9"/>
      <c r="F186" s="84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50"/>
      <c r="AA186" s="2"/>
      <c r="AB186" s="2"/>
      <c r="AC186" s="2"/>
      <c r="AD186" s="2"/>
      <c r="AE186" s="2"/>
      <c r="AF186" s="2"/>
      <c r="AG186" s="2"/>
      <c r="AH186" s="2"/>
    </row>
    <row r="187" spans="1:34" s="3" customFormat="1" ht="15.75">
      <c r="A187" s="9"/>
      <c r="B187" s="9"/>
      <c r="C187" s="9"/>
      <c r="D187" s="9"/>
      <c r="E187" s="9"/>
      <c r="F187" s="84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50"/>
      <c r="AA187" s="2"/>
      <c r="AB187" s="2"/>
      <c r="AC187" s="2"/>
      <c r="AD187" s="2"/>
      <c r="AE187" s="2"/>
      <c r="AF187" s="2"/>
      <c r="AG187" s="2"/>
      <c r="AH187" s="2"/>
    </row>
    <row r="188" spans="1:34" s="3" customFormat="1" ht="15.75">
      <c r="A188" s="9"/>
      <c r="B188" s="9"/>
      <c r="C188" s="9"/>
      <c r="D188" s="9"/>
      <c r="E188" s="9"/>
      <c r="F188" s="84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50"/>
      <c r="AA188" s="2"/>
      <c r="AB188" s="2"/>
      <c r="AC188" s="2"/>
      <c r="AD188" s="2"/>
      <c r="AE188" s="2"/>
      <c r="AF188" s="2"/>
      <c r="AG188" s="2"/>
      <c r="AH188" s="2"/>
    </row>
    <row r="189" spans="1:34" s="3" customFormat="1" ht="15.75">
      <c r="A189" s="9"/>
      <c r="B189" s="9"/>
      <c r="C189" s="9"/>
      <c r="D189" s="9"/>
      <c r="E189" s="9"/>
      <c r="F189" s="84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50"/>
      <c r="AA189" s="2"/>
      <c r="AB189" s="2"/>
      <c r="AC189" s="2"/>
      <c r="AD189" s="2"/>
      <c r="AE189" s="2"/>
      <c r="AF189" s="2"/>
      <c r="AG189" s="2"/>
      <c r="AH189" s="2"/>
    </row>
    <row r="190" spans="1:34" s="3" customFormat="1" ht="15.75">
      <c r="A190" s="9"/>
      <c r="B190" s="9"/>
      <c r="C190" s="9"/>
      <c r="D190" s="9"/>
      <c r="E190" s="9"/>
      <c r="F190" s="84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50"/>
      <c r="AA190" s="2"/>
      <c r="AB190" s="2"/>
      <c r="AC190" s="2"/>
      <c r="AD190" s="2"/>
      <c r="AE190" s="2"/>
      <c r="AF190" s="2"/>
      <c r="AG190" s="2"/>
      <c r="AH190" s="2"/>
    </row>
    <row r="191" spans="1:34" s="3" customFormat="1" ht="15.75">
      <c r="A191" s="9"/>
      <c r="B191" s="9"/>
      <c r="C191" s="9"/>
      <c r="D191" s="9"/>
      <c r="E191" s="9"/>
      <c r="F191" s="84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50"/>
      <c r="AA191" s="2"/>
      <c r="AB191" s="2"/>
      <c r="AC191" s="2"/>
      <c r="AD191" s="2"/>
      <c r="AE191" s="2"/>
      <c r="AF191" s="2"/>
      <c r="AG191" s="2"/>
      <c r="AH191" s="2"/>
    </row>
    <row r="192" spans="1:34" s="3" customFormat="1" ht="15.75">
      <c r="A192" s="9"/>
      <c r="B192" s="9"/>
      <c r="C192" s="9"/>
      <c r="D192" s="9"/>
      <c r="E192" s="9"/>
      <c r="F192" s="84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50"/>
      <c r="AA192" s="2"/>
      <c r="AB192" s="2"/>
      <c r="AC192" s="2"/>
      <c r="AD192" s="2"/>
      <c r="AE192" s="2"/>
      <c r="AF192" s="2"/>
      <c r="AG192" s="2"/>
      <c r="AH192" s="2"/>
    </row>
    <row r="193" spans="1:34" s="3" customFormat="1" ht="15.75">
      <c r="A193" s="9"/>
      <c r="B193" s="9"/>
      <c r="C193" s="9"/>
      <c r="D193" s="9"/>
      <c r="E193" s="9"/>
      <c r="F193" s="84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50"/>
      <c r="AA193" s="2"/>
      <c r="AB193" s="2"/>
      <c r="AC193" s="2"/>
      <c r="AD193" s="2"/>
      <c r="AE193" s="2"/>
      <c r="AF193" s="2"/>
      <c r="AG193" s="2"/>
      <c r="AH193" s="2"/>
    </row>
    <row r="194" spans="1:34" s="3" customFormat="1" ht="15.75">
      <c r="A194" s="9"/>
      <c r="B194" s="9"/>
      <c r="C194" s="9"/>
      <c r="D194" s="9"/>
      <c r="E194" s="9"/>
      <c r="F194" s="84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50"/>
      <c r="AA194" s="2"/>
      <c r="AB194" s="2"/>
      <c r="AC194" s="2"/>
      <c r="AD194" s="2"/>
      <c r="AE194" s="2"/>
      <c r="AF194" s="2"/>
      <c r="AG194" s="2"/>
      <c r="AH194" s="2"/>
    </row>
    <row r="195" spans="1:34" s="3" customFormat="1" ht="15.75">
      <c r="A195" s="9"/>
      <c r="B195" s="9"/>
      <c r="C195" s="9"/>
      <c r="D195" s="9"/>
      <c r="E195" s="9"/>
      <c r="F195" s="84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50"/>
      <c r="AA195" s="2"/>
      <c r="AB195" s="2"/>
      <c r="AC195" s="2"/>
      <c r="AD195" s="2"/>
      <c r="AE195" s="2"/>
      <c r="AF195" s="2"/>
      <c r="AG195" s="2"/>
      <c r="AH195" s="2"/>
    </row>
    <row r="196" spans="1:34" s="3" customFormat="1" ht="15.75">
      <c r="A196" s="9"/>
      <c r="B196" s="9"/>
      <c r="C196" s="9"/>
      <c r="D196" s="9"/>
      <c r="E196" s="9"/>
      <c r="F196" s="84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50"/>
      <c r="AA196" s="2"/>
      <c r="AB196" s="2"/>
      <c r="AC196" s="2"/>
      <c r="AD196" s="2"/>
      <c r="AE196" s="2"/>
      <c r="AF196" s="2"/>
      <c r="AG196" s="2"/>
      <c r="AH196" s="2"/>
    </row>
    <row r="197" spans="1:34" s="3" customFormat="1" ht="15.75">
      <c r="A197" s="9"/>
      <c r="B197" s="9"/>
      <c r="C197" s="9"/>
      <c r="D197" s="9"/>
      <c r="E197" s="9"/>
      <c r="F197" s="84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50"/>
      <c r="AA197" s="2"/>
      <c r="AB197" s="2"/>
      <c r="AC197" s="2"/>
      <c r="AD197" s="2"/>
      <c r="AE197" s="2"/>
      <c r="AF197" s="2"/>
      <c r="AG197" s="2"/>
      <c r="AH197" s="2"/>
    </row>
    <row r="198" spans="1:34" s="3" customFormat="1" ht="15.75">
      <c r="A198" s="9"/>
      <c r="B198" s="9"/>
      <c r="C198" s="9"/>
      <c r="D198" s="9"/>
      <c r="E198" s="9"/>
      <c r="F198" s="84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50"/>
      <c r="AA198" s="2"/>
      <c r="AB198" s="2"/>
      <c r="AC198" s="2"/>
      <c r="AD198" s="2"/>
      <c r="AE198" s="2"/>
      <c r="AF198" s="2"/>
      <c r="AG198" s="2"/>
      <c r="AH198" s="2"/>
    </row>
    <row r="199" spans="1:34" s="3" customFormat="1" ht="15.75">
      <c r="A199" s="9"/>
      <c r="B199" s="9"/>
      <c r="C199" s="9"/>
      <c r="D199" s="9"/>
      <c r="E199" s="9"/>
      <c r="F199" s="84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50"/>
      <c r="AA199" s="2"/>
      <c r="AB199" s="2"/>
      <c r="AC199" s="2"/>
      <c r="AD199" s="2"/>
      <c r="AE199" s="2"/>
      <c r="AF199" s="2"/>
      <c r="AG199" s="2"/>
      <c r="AH199" s="2"/>
    </row>
    <row r="200" spans="1:34" s="3" customFormat="1" ht="15.75">
      <c r="A200" s="9"/>
      <c r="B200" s="9"/>
      <c r="C200" s="9"/>
      <c r="D200" s="9"/>
      <c r="E200" s="9"/>
      <c r="F200" s="84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50"/>
      <c r="AA200" s="2"/>
      <c r="AB200" s="2"/>
      <c r="AC200" s="2"/>
      <c r="AD200" s="2"/>
      <c r="AE200" s="2"/>
      <c r="AF200" s="2"/>
      <c r="AG200" s="2"/>
      <c r="AH200" s="2"/>
    </row>
    <row r="201" spans="1:34" s="3" customFormat="1" ht="15.75">
      <c r="A201" s="9"/>
      <c r="B201" s="9"/>
      <c r="C201" s="9"/>
      <c r="D201" s="9"/>
      <c r="E201" s="9"/>
      <c r="F201" s="84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50"/>
      <c r="AA201" s="2"/>
      <c r="AB201" s="2"/>
      <c r="AC201" s="2"/>
      <c r="AD201" s="2"/>
      <c r="AE201" s="2"/>
      <c r="AF201" s="2"/>
      <c r="AG201" s="2"/>
      <c r="AH201" s="2"/>
    </row>
    <row r="202" spans="1:34" s="3" customFormat="1" ht="15.75">
      <c r="A202" s="9"/>
      <c r="B202" s="9"/>
      <c r="C202" s="9"/>
      <c r="D202" s="9"/>
      <c r="E202" s="9"/>
      <c r="F202" s="84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50"/>
      <c r="AA202" s="2"/>
      <c r="AB202" s="2"/>
      <c r="AC202" s="2"/>
      <c r="AD202" s="2"/>
      <c r="AE202" s="2"/>
      <c r="AF202" s="2"/>
      <c r="AG202" s="2"/>
      <c r="AH202" s="2"/>
    </row>
    <row r="203" spans="1:34" s="3" customFormat="1" ht="15.75">
      <c r="A203" s="9"/>
      <c r="B203" s="9"/>
      <c r="C203" s="9"/>
      <c r="D203" s="9"/>
      <c r="E203" s="9"/>
      <c r="F203" s="84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50"/>
      <c r="AA203" s="2"/>
      <c r="AB203" s="2"/>
      <c r="AC203" s="2"/>
      <c r="AD203" s="2"/>
      <c r="AE203" s="2"/>
      <c r="AF203" s="2"/>
      <c r="AG203" s="2"/>
      <c r="AH203" s="2"/>
    </row>
    <row r="204" spans="1:34" s="3" customFormat="1" ht="15.75">
      <c r="A204" s="9"/>
      <c r="B204" s="9"/>
      <c r="C204" s="9"/>
      <c r="D204" s="9"/>
      <c r="E204" s="9"/>
      <c r="F204" s="84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50"/>
      <c r="AA204" s="2"/>
      <c r="AB204" s="2"/>
      <c r="AC204" s="2"/>
      <c r="AD204" s="2"/>
      <c r="AE204" s="2"/>
      <c r="AF204" s="2"/>
      <c r="AG204" s="2"/>
      <c r="AH204" s="2"/>
    </row>
    <row r="205" spans="1:34" s="3" customFormat="1" ht="15.75">
      <c r="A205" s="9"/>
      <c r="B205" s="9"/>
      <c r="C205" s="9"/>
      <c r="D205" s="9"/>
      <c r="E205" s="9"/>
      <c r="F205" s="84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50"/>
      <c r="AA205" s="2"/>
      <c r="AB205" s="2"/>
      <c r="AC205" s="2"/>
      <c r="AD205" s="2"/>
      <c r="AE205" s="2"/>
      <c r="AF205" s="2"/>
      <c r="AG205" s="2"/>
      <c r="AH205" s="2"/>
    </row>
    <row r="206" spans="1:34" s="3" customFormat="1" ht="15.75">
      <c r="A206" s="9"/>
      <c r="B206" s="9"/>
      <c r="C206" s="9"/>
      <c r="D206" s="9"/>
      <c r="E206" s="9"/>
      <c r="F206" s="84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50"/>
      <c r="AA206" s="2"/>
      <c r="AB206" s="2"/>
      <c r="AC206" s="2"/>
      <c r="AD206" s="2"/>
      <c r="AE206" s="2"/>
      <c r="AF206" s="2"/>
      <c r="AG206" s="2"/>
      <c r="AH206" s="2"/>
    </row>
    <row r="207" spans="1:34" s="3" customFormat="1" ht="15.75">
      <c r="A207" s="9"/>
      <c r="B207" s="9"/>
      <c r="C207" s="9"/>
      <c r="D207" s="9"/>
      <c r="E207" s="9"/>
      <c r="F207" s="84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50"/>
      <c r="AA207" s="2"/>
      <c r="AB207" s="2"/>
      <c r="AC207" s="2"/>
      <c r="AD207" s="2"/>
      <c r="AE207" s="2"/>
      <c r="AF207" s="2"/>
      <c r="AG207" s="2"/>
      <c r="AH207" s="2"/>
    </row>
    <row r="208" spans="1:34" s="3" customFormat="1" ht="15.75">
      <c r="A208" s="9"/>
      <c r="B208" s="9"/>
      <c r="C208" s="9"/>
      <c r="D208" s="9"/>
      <c r="E208" s="9"/>
      <c r="F208" s="84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50"/>
      <c r="AA208" s="2"/>
      <c r="AB208" s="2"/>
      <c r="AC208" s="2"/>
      <c r="AD208" s="2"/>
      <c r="AE208" s="2"/>
      <c r="AF208" s="2"/>
      <c r="AG208" s="2"/>
      <c r="AH208" s="2"/>
    </row>
    <row r="209" spans="1:34" s="3" customFormat="1" ht="15.75">
      <c r="A209" s="9"/>
      <c r="B209" s="9"/>
      <c r="C209" s="9"/>
      <c r="D209" s="9"/>
      <c r="E209" s="9"/>
      <c r="F209" s="84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50"/>
      <c r="AA209" s="2"/>
      <c r="AB209" s="2"/>
      <c r="AC209" s="2"/>
      <c r="AD209" s="2"/>
      <c r="AE209" s="2"/>
      <c r="AF209" s="2"/>
      <c r="AG209" s="2"/>
      <c r="AH209" s="2"/>
    </row>
    <row r="210" spans="1:34" s="3" customFormat="1" ht="15.75">
      <c r="A210" s="9"/>
      <c r="B210" s="9"/>
      <c r="C210" s="9"/>
      <c r="D210" s="9"/>
      <c r="E210" s="9"/>
      <c r="F210" s="84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50"/>
      <c r="AA210" s="2"/>
      <c r="AB210" s="2"/>
      <c r="AC210" s="2"/>
      <c r="AD210" s="2"/>
      <c r="AE210" s="2"/>
      <c r="AF210" s="2"/>
      <c r="AG210" s="2"/>
      <c r="AH210" s="2"/>
    </row>
    <row r="211" spans="1:34" s="3" customFormat="1" ht="15.75">
      <c r="A211" s="2"/>
      <c r="B211" s="9"/>
      <c r="C211" s="9"/>
      <c r="D211" s="2"/>
      <c r="E211" s="2"/>
      <c r="F211" s="83"/>
      <c r="G211" s="2"/>
      <c r="H211" s="2"/>
      <c r="I211" s="9"/>
      <c r="Y211" s="150"/>
      <c r="AA211" s="2"/>
      <c r="AB211" s="2"/>
      <c r="AC211" s="2"/>
      <c r="AD211" s="2"/>
      <c r="AE211" s="2"/>
      <c r="AF211" s="2"/>
      <c r="AG211" s="2"/>
      <c r="AH211" s="2"/>
    </row>
    <row r="212" spans="2:3" ht="15.75">
      <c r="B212" s="9"/>
      <c r="C212" s="9"/>
    </row>
    <row r="213" spans="2:3" ht="15.75">
      <c r="B213" s="9"/>
      <c r="C213" s="9"/>
    </row>
    <row r="214" spans="2:3" ht="15.75">
      <c r="B214" s="9"/>
      <c r="C214" s="9"/>
    </row>
  </sheetData>
  <sheetProtection/>
  <mergeCells count="157">
    <mergeCell ref="Z3:Z5"/>
    <mergeCell ref="F3:F5"/>
    <mergeCell ref="B147:E147"/>
    <mergeCell ref="B76:E76"/>
    <mergeCell ref="B144:E144"/>
    <mergeCell ref="B145:E145"/>
    <mergeCell ref="B146:E146"/>
    <mergeCell ref="B77:E77"/>
    <mergeCell ref="B78:E78"/>
    <mergeCell ref="B79:E79"/>
    <mergeCell ref="B70:E70"/>
    <mergeCell ref="B71:E71"/>
    <mergeCell ref="B72:E72"/>
    <mergeCell ref="B73:E73"/>
    <mergeCell ref="B74:E74"/>
    <mergeCell ref="B75:E75"/>
    <mergeCell ref="B68:E68"/>
    <mergeCell ref="B69:E69"/>
    <mergeCell ref="B61:E61"/>
    <mergeCell ref="B54:E54"/>
    <mergeCell ref="B62:E62"/>
    <mergeCell ref="B63:E63"/>
    <mergeCell ref="B64:E64"/>
    <mergeCell ref="B65:E65"/>
    <mergeCell ref="B66:E66"/>
    <mergeCell ref="B59:E59"/>
    <mergeCell ref="B45:E45"/>
    <mergeCell ref="B46:E46"/>
    <mergeCell ref="B47:E47"/>
    <mergeCell ref="B48:E48"/>
    <mergeCell ref="B67:E67"/>
    <mergeCell ref="B60:E60"/>
    <mergeCell ref="B49:E49"/>
    <mergeCell ref="B50:E50"/>
    <mergeCell ref="B51:E51"/>
    <mergeCell ref="B52:E52"/>
    <mergeCell ref="B53:E53"/>
    <mergeCell ref="B55:E55"/>
    <mergeCell ref="B56:E56"/>
    <mergeCell ref="B57:E57"/>
    <mergeCell ref="B58:E58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1:E11"/>
    <mergeCell ref="B12:E12"/>
    <mergeCell ref="B17:E17"/>
    <mergeCell ref="B18:E18"/>
    <mergeCell ref="B19:E19"/>
    <mergeCell ref="B20:E20"/>
    <mergeCell ref="Y3:Y5"/>
    <mergeCell ref="B143:E143"/>
    <mergeCell ref="B13:E13"/>
    <mergeCell ref="B14:E14"/>
    <mergeCell ref="B16:E16"/>
    <mergeCell ref="B6:E6"/>
    <mergeCell ref="B7:E7"/>
    <mergeCell ref="J4:N4"/>
    <mergeCell ref="O4:S4"/>
    <mergeCell ref="B85:E85"/>
    <mergeCell ref="A2:Z2"/>
    <mergeCell ref="A3:A5"/>
    <mergeCell ref="B3:E5"/>
    <mergeCell ref="G3:G5"/>
    <mergeCell ref="H3:H5"/>
    <mergeCell ref="I3:I5"/>
    <mergeCell ref="X3:X5"/>
    <mergeCell ref="T4:U4"/>
    <mergeCell ref="J3:W3"/>
    <mergeCell ref="V4:W4"/>
    <mergeCell ref="B15:E15"/>
    <mergeCell ref="B8:E8"/>
    <mergeCell ref="B9:E9"/>
    <mergeCell ref="B10:E10"/>
    <mergeCell ref="B80:E80"/>
    <mergeCell ref="B81:E81"/>
    <mergeCell ref="B82:E82"/>
    <mergeCell ref="B83:E83"/>
    <mergeCell ref="B84:E84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40:E140"/>
    <mergeCell ref="B141:E141"/>
    <mergeCell ref="B142:E142"/>
    <mergeCell ref="B134:E134"/>
    <mergeCell ref="B135:E135"/>
    <mergeCell ref="B136:E136"/>
    <mergeCell ref="B137:E137"/>
    <mergeCell ref="B138:E138"/>
    <mergeCell ref="B139:E139"/>
  </mergeCells>
  <printOptions/>
  <pageMargins left="0.2362204724409449" right="0.2362204724409449" top="0.15748031496062992" bottom="0" header="0.31496062992125984" footer="0.31496062992125984"/>
  <pageSetup fitToHeight="999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2019-01-12T12:51:22Z</cp:lastPrinted>
  <dcterms:created xsi:type="dcterms:W3CDTF">2017-04-18T17:55:36Z</dcterms:created>
  <dcterms:modified xsi:type="dcterms:W3CDTF">2019-09-23T11:38:20Z</dcterms:modified>
  <cp:category/>
  <cp:version/>
  <cp:contentType/>
  <cp:contentStatus/>
</cp:coreProperties>
</file>