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ender\TENDER\Downloads\"/>
    </mc:Choice>
  </mc:AlternateContent>
  <bookViews>
    <workbookView xWindow="0" yWindow="0" windowWidth="28800" windowHeight="12330"/>
  </bookViews>
  <sheets>
    <sheet name="Sheet" sheetId="1" r:id="rId1"/>
  </sheets>
  <definedNames>
    <definedName name="_xlnm._FilterDatabase" localSheetId="0" hidden="1">Sheet!$A$4:$N$326</definedName>
  </definedNames>
  <calcPr calcId="162913"/>
</workbook>
</file>

<file path=xl/calcChain.xml><?xml version="1.0" encoding="utf-8"?>
<calcChain xmlns="http://schemas.openxmlformats.org/spreadsheetml/2006/main">
  <c r="C325" i="1" l="1"/>
  <c r="B325" i="1"/>
  <c r="C324" i="1"/>
  <c r="B324" i="1"/>
  <c r="C323" i="1"/>
  <c r="B323" i="1"/>
  <c r="C322" i="1"/>
  <c r="B322" i="1"/>
  <c r="C321" i="1"/>
  <c r="B321" i="1"/>
  <c r="C320" i="1"/>
  <c r="B320" i="1"/>
  <c r="C319" i="1"/>
  <c r="B319" i="1"/>
  <c r="C318" i="1"/>
  <c r="B318" i="1"/>
  <c r="C317" i="1"/>
  <c r="B317" i="1"/>
  <c r="C316" i="1"/>
  <c r="B316" i="1"/>
  <c r="C315" i="1"/>
  <c r="B315" i="1"/>
  <c r="C314" i="1"/>
  <c r="B314" i="1"/>
  <c r="C313" i="1"/>
  <c r="B313" i="1"/>
  <c r="C312" i="1"/>
  <c r="B312" i="1"/>
  <c r="C311" i="1"/>
  <c r="B311" i="1"/>
  <c r="C310" i="1"/>
  <c r="B310" i="1"/>
  <c r="C309" i="1"/>
  <c r="B309" i="1"/>
  <c r="C308" i="1"/>
  <c r="B308" i="1"/>
  <c r="C307" i="1"/>
  <c r="B307" i="1"/>
  <c r="C306" i="1"/>
  <c r="B306" i="1"/>
  <c r="C305" i="1"/>
  <c r="B305" i="1"/>
  <c r="C304" i="1"/>
  <c r="B304" i="1"/>
  <c r="C303" i="1"/>
  <c r="B303" i="1"/>
  <c r="C302" i="1"/>
  <c r="B302" i="1"/>
  <c r="C301" i="1"/>
  <c r="B301" i="1"/>
  <c r="C300" i="1"/>
  <c r="B300" i="1"/>
  <c r="C299" i="1"/>
  <c r="B299" i="1"/>
  <c r="C298" i="1"/>
  <c r="B298" i="1"/>
  <c r="C297" i="1"/>
  <c r="B297" i="1"/>
  <c r="C296" i="1"/>
  <c r="B296" i="1"/>
  <c r="C295" i="1"/>
  <c r="B295" i="1"/>
  <c r="C294" i="1"/>
  <c r="B294" i="1"/>
  <c r="C293" i="1"/>
  <c r="B293" i="1"/>
  <c r="C292" i="1"/>
  <c r="B292" i="1"/>
  <c r="C291" i="1"/>
  <c r="B291" i="1"/>
  <c r="C290" i="1"/>
  <c r="B290" i="1"/>
  <c r="C289" i="1"/>
  <c r="B289" i="1"/>
  <c r="C288" i="1"/>
  <c r="B288" i="1"/>
  <c r="C287" i="1"/>
  <c r="B287" i="1"/>
  <c r="C286" i="1"/>
  <c r="B286" i="1"/>
  <c r="C285" i="1"/>
  <c r="B285" i="1"/>
  <c r="C284" i="1"/>
  <c r="B284" i="1"/>
  <c r="C283" i="1"/>
  <c r="B283" i="1"/>
  <c r="C282" i="1"/>
  <c r="B282" i="1"/>
  <c r="C281" i="1"/>
  <c r="B281" i="1"/>
  <c r="C280" i="1"/>
  <c r="B280" i="1"/>
  <c r="C279" i="1"/>
  <c r="B279" i="1"/>
  <c r="C278" i="1"/>
  <c r="B278" i="1"/>
  <c r="C277" i="1"/>
  <c r="B277" i="1"/>
  <c r="C276" i="1"/>
  <c r="B276" i="1"/>
  <c r="C275" i="1"/>
  <c r="B275" i="1"/>
  <c r="C274" i="1"/>
  <c r="B274" i="1"/>
  <c r="C273" i="1"/>
  <c r="B273" i="1"/>
  <c r="C272" i="1"/>
  <c r="B272" i="1"/>
  <c r="C271" i="1"/>
  <c r="B271" i="1"/>
  <c r="C270" i="1"/>
  <c r="B270" i="1"/>
  <c r="C269" i="1"/>
  <c r="B269" i="1"/>
  <c r="C268" i="1"/>
  <c r="B268" i="1"/>
  <c r="C267" i="1"/>
  <c r="B267" i="1"/>
  <c r="C266" i="1"/>
  <c r="B266" i="1"/>
  <c r="C265" i="1"/>
  <c r="B265" i="1"/>
  <c r="C264" i="1"/>
  <c r="B264" i="1"/>
  <c r="C263" i="1"/>
  <c r="B263" i="1"/>
  <c r="C262" i="1"/>
  <c r="B262" i="1"/>
  <c r="C261" i="1"/>
  <c r="B261" i="1"/>
  <c r="C260" i="1"/>
  <c r="B260" i="1"/>
  <c r="C259" i="1"/>
  <c r="B259" i="1"/>
  <c r="C258" i="1"/>
  <c r="B258" i="1"/>
  <c r="C257" i="1"/>
  <c r="B257" i="1"/>
  <c r="C256" i="1"/>
  <c r="B256" i="1"/>
  <c r="C255" i="1"/>
  <c r="B255" i="1"/>
  <c r="C254" i="1"/>
  <c r="B254" i="1"/>
  <c r="C253" i="1"/>
  <c r="B253" i="1"/>
  <c r="C252" i="1"/>
  <c r="B252" i="1"/>
  <c r="C251" i="1"/>
  <c r="B251" i="1"/>
  <c r="C250" i="1"/>
  <c r="B250" i="1"/>
  <c r="C249" i="1"/>
  <c r="B249" i="1"/>
  <c r="C248" i="1"/>
  <c r="B248" i="1"/>
  <c r="C247" i="1"/>
  <c r="B247" i="1"/>
  <c r="C246" i="1"/>
  <c r="B246" i="1"/>
  <c r="C245" i="1"/>
  <c r="B245" i="1"/>
  <c r="C244" i="1"/>
  <c r="B244" i="1"/>
  <c r="C243" i="1"/>
  <c r="B243" i="1"/>
  <c r="C242" i="1"/>
  <c r="B242" i="1"/>
  <c r="C241" i="1"/>
  <c r="B241" i="1"/>
  <c r="C240" i="1"/>
  <c r="B240" i="1"/>
  <c r="C239" i="1"/>
  <c r="B239" i="1"/>
  <c r="C238" i="1"/>
  <c r="B238" i="1"/>
  <c r="C237" i="1"/>
  <c r="B237" i="1"/>
  <c r="C236" i="1"/>
  <c r="B236" i="1"/>
  <c r="C235" i="1"/>
  <c r="B235" i="1"/>
  <c r="C234" i="1"/>
  <c r="B234" i="1"/>
  <c r="C233" i="1"/>
  <c r="B233" i="1"/>
  <c r="C232" i="1"/>
  <c r="B232" i="1"/>
  <c r="C231" i="1"/>
  <c r="B231" i="1"/>
  <c r="C230" i="1"/>
  <c r="B230" i="1"/>
  <c r="C229" i="1"/>
  <c r="B229" i="1"/>
  <c r="C228" i="1"/>
  <c r="B228" i="1"/>
  <c r="C227" i="1"/>
  <c r="B227" i="1"/>
  <c r="C226" i="1"/>
  <c r="B226" i="1"/>
  <c r="C225" i="1"/>
  <c r="B225" i="1"/>
  <c r="C224" i="1"/>
  <c r="B224" i="1"/>
  <c r="C223" i="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210" i="1"/>
  <c r="B210" i="1"/>
  <c r="C209" i="1"/>
  <c r="B209" i="1"/>
  <c r="C208" i="1"/>
  <c r="B208" i="1"/>
  <c r="C207" i="1"/>
  <c r="B207" i="1"/>
  <c r="C206" i="1"/>
  <c r="B206" i="1"/>
  <c r="C205" i="1"/>
  <c r="B205" i="1"/>
  <c r="C204" i="1"/>
  <c r="B204" i="1"/>
  <c r="C203" i="1"/>
  <c r="B203" i="1"/>
  <c r="C202" i="1"/>
  <c r="B202" i="1"/>
  <c r="C201" i="1"/>
  <c r="B201" i="1"/>
  <c r="C200" i="1"/>
  <c r="B200"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2" i="1"/>
  <c r="B152"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alcChain>
</file>

<file path=xl/sharedStrings.xml><?xml version="1.0" encoding="utf-8"?>
<sst xmlns="http://schemas.openxmlformats.org/spreadsheetml/2006/main" count="2585" uniqueCount="1490">
  <si>
    <t xml:space="preserve"> 50410000-2 - Послуги з ремонту і технічного обслуговування вимірювальних, випробувальних і контрольних приладів (50413200-5 - Послуги з ремонту і технічного обслуговування протипожежного обладнання (послуги з обслуговування та перезарядки вогнегасників)</t>
  </si>
  <si>
    <t xml:space="preserve"> 72310000-1 Послуги з обробки даних (Послуги відстеження пасажиропотоку)</t>
  </si>
  <si>
    <t>00130659</t>
  </si>
  <si>
    <t>00418107</t>
  </si>
  <si>
    <t>00497213</t>
  </si>
  <si>
    <t>00702245</t>
  </si>
  <si>
    <t>01898233</t>
  </si>
  <si>
    <t>025/072</t>
  </si>
  <si>
    <t>025/078</t>
  </si>
  <si>
    <t>025/088</t>
  </si>
  <si>
    <t>02568259</t>
  </si>
  <si>
    <t>02Е</t>
  </si>
  <si>
    <t>03328468</t>
  </si>
  <si>
    <t>03410000-7 Деревина</t>
  </si>
  <si>
    <t>03410000-7 Деревина (03411000-4 Деревина хвойних порід (дошка 30*100*6 м., дошка 50*150*4,5 м.)</t>
  </si>
  <si>
    <t>03967843</t>
  </si>
  <si>
    <t>09110000-3 Тверде паливо</t>
  </si>
  <si>
    <t>09110000-3 Тверде паливо (09111100-1 Вугілля ( Вугілля камяне ДГ 13-100)</t>
  </si>
  <si>
    <t>09110000-3 Тверде паливо (09111100-1 Вугілля (вугілля кам'яне ДГ 13-50)</t>
  </si>
  <si>
    <t>09111100-1 Вугілля</t>
  </si>
  <si>
    <t>09111100-1 Вугілля ( Вугілля камяне ДГ 13-100)</t>
  </si>
  <si>
    <t>09130000-9 Нафта і дистиляти</t>
  </si>
  <si>
    <t>09130000-9 Нафта і дистиляти (Бензин А-95 (Євро 5) талон/смарт-карта, Бензин А-92 (Євро 5) талон/смарт-карта, Дизельне паливо (Євро 5) талон/смарт-карта, Газ скраплений автомобільний марки Е талон/смарт-карта)</t>
  </si>
  <si>
    <t>09210000-4 Мастильні засоби (09211000-1 Мастильні оливи та мастильні матеріали (Наповнювачі, змащувальні композиції)</t>
  </si>
  <si>
    <t>09210000-4 Мастильні засоби (09211000-1 Мастильні оливи та мастильні матеріали (Охолоджуючі рідини, антифриз, оливи, зимові омивачі, гальмівні рідини, мастила)</t>
  </si>
  <si>
    <t>09210000-4 Мастильні засоби (09211000-1 Мастильні оливи та мастильні матеріали (мастила, оливи, охолоджуючі рідини)</t>
  </si>
  <si>
    <t>09210000-4 Мастильні засоби (09211000-1 Мастильні оливи та мастильні матеріали (оливи, мастила)</t>
  </si>
  <si>
    <t>09211000-1 Мастильні оливи та мастильні матеріали</t>
  </si>
  <si>
    <t>09310000-5 Електрична енергія</t>
  </si>
  <si>
    <t>09310000-5 Електрична енергія (електрична енергія)</t>
  </si>
  <si>
    <t xml:space="preserve">09310000-5 Електрична енергія (електрична енергія) </t>
  </si>
  <si>
    <t>1</t>
  </si>
  <si>
    <t>1/04</t>
  </si>
  <si>
    <t>101</t>
  </si>
  <si>
    <t>102</t>
  </si>
  <si>
    <t>103</t>
  </si>
  <si>
    <t>104</t>
  </si>
  <si>
    <t>106</t>
  </si>
  <si>
    <t>107</t>
  </si>
  <si>
    <t>1102Л</t>
  </si>
  <si>
    <t>1108/23/MY/583</t>
  </si>
  <si>
    <t>112</t>
  </si>
  <si>
    <t>115</t>
  </si>
  <si>
    <t>116</t>
  </si>
  <si>
    <t>117</t>
  </si>
  <si>
    <t>118/Д</t>
  </si>
  <si>
    <t>119</t>
  </si>
  <si>
    <t>121</t>
  </si>
  <si>
    <t>123</t>
  </si>
  <si>
    <t>124</t>
  </si>
  <si>
    <t>125</t>
  </si>
  <si>
    <t>126</t>
  </si>
  <si>
    <t>128</t>
  </si>
  <si>
    <t>129</t>
  </si>
  <si>
    <t>130</t>
  </si>
  <si>
    <t>130/23/МИ</t>
  </si>
  <si>
    <t>131</t>
  </si>
  <si>
    <t>133</t>
  </si>
  <si>
    <t>134</t>
  </si>
  <si>
    <t>136</t>
  </si>
  <si>
    <t>137</t>
  </si>
  <si>
    <t>138</t>
  </si>
  <si>
    <t>13845696</t>
  </si>
  <si>
    <t>13851544</t>
  </si>
  <si>
    <t>139</t>
  </si>
  <si>
    <t>14</t>
  </si>
  <si>
    <t>14/06</t>
  </si>
  <si>
    <t>14031119912</t>
  </si>
  <si>
    <t>141</t>
  </si>
  <si>
    <t>142</t>
  </si>
  <si>
    <t>14210000-6 Гравій, пісок, щебінь і наповнювачі</t>
  </si>
  <si>
    <t>14210000-6 Гравій, пісок, щебінь і наповнювачі (щебінь фракції 20-40 мм)</t>
  </si>
  <si>
    <t>143</t>
  </si>
  <si>
    <t>14305453</t>
  </si>
  <si>
    <t>14333937</t>
  </si>
  <si>
    <t>145</t>
  </si>
  <si>
    <t xml:space="preserve">14620000-3 Сплави (14622000-7 Сталь (листи, круги сталеві, труби профільні, шестигранник) </t>
  </si>
  <si>
    <t>14620000-3 Сплави (14622000-7 Сталь (листи, круги сталеві, труби профільні, шестигранники, швелери, кутики, арматура)</t>
  </si>
  <si>
    <t>14620000-3 Сплави (14622000-7 Сталь (труби профільні, лист г/к, профнастил, швелери)</t>
  </si>
  <si>
    <t>14622000-7 Сталь</t>
  </si>
  <si>
    <t>14710000-1 Залізо, свинець, цинк, олово та мідь</t>
  </si>
  <si>
    <t xml:space="preserve">14710000-1 Залізо, свинець, цинк, олово та мідь (лист латунь, труби латунь, прутки бронзові) </t>
  </si>
  <si>
    <t>14710000-1 Залізо, свинець, цинк, олово та мідь (листи латунні, листи мідні, стрічки мідні, прутки бронзові)</t>
  </si>
  <si>
    <t>14720000-4 Алюміній, нікель, скандій, титан і ванадій</t>
  </si>
  <si>
    <t>14720000-4 Алюміній, нікель, скандій, титан і ванадій (алюміній АД31 в чушках)</t>
  </si>
  <si>
    <t>14810000-2 Абразивні вироби</t>
  </si>
  <si>
    <t xml:space="preserve">14810000-2 Абразивні вироби (шліф шкурка, коло КЛТ1, коло відрізне по металу, коло зачисне, коло шліфувальне, коло алмазне) </t>
  </si>
  <si>
    <t>14820000-5 Скло</t>
  </si>
  <si>
    <t>14820000-5 Скло (Скло вітрове МАЗ 203/206, Скло заднє МАЗ 203/206(2300*780), Скло вітрове ЛАЗ Е183, Скло заднє ЛАЗ Е183, Скло вітрове Skoda Tr 14 ліве низьке, Скло вітрове Skoda Tr 14 праве низьке, Скло вітрове Skoda Tr 14 ліве високе, Скло вітрове Skoda Tr 14 праве високе)</t>
  </si>
  <si>
    <t>14820000-5 Скло (автоскло гартоване)</t>
  </si>
  <si>
    <t>14820000-5 Скло (автоскло гартоване, автоскло триплекс)</t>
  </si>
  <si>
    <t>15510000-6 Молоко та вершки</t>
  </si>
  <si>
    <t>15510000-6 Молоко та вершки (15511600-9 Згущене молоко (Молоко незбиране згущене з цукром)</t>
  </si>
  <si>
    <t>15510000-6 Молоко та вершки (15511600-9 Згущене молоко) (Молоко незбиране згущене з цукром)</t>
  </si>
  <si>
    <t>15511600-9 Згущене молоко</t>
  </si>
  <si>
    <t>15511600-9 Згущене молоко (Молоко незбиране згущене з цукром)</t>
  </si>
  <si>
    <t>16</t>
  </si>
  <si>
    <t>16160000-4 Садова техніка різна</t>
  </si>
  <si>
    <t>16160000-4 Садова техніка різна (віброплита Masa ta MS90-4, 83 кг., 30 см., 13 кН, 350*500 мм. Honda 5.5к.с.)</t>
  </si>
  <si>
    <t xml:space="preserve">16160000-4 Садова техніка різна (мотокоса Dnipro-M 52) </t>
  </si>
  <si>
    <t>16160000-4 Садова техніка різна (мотокоси Dnipro-M 52, бензопили ланцюгові Dnipro-M DSG-62H)</t>
  </si>
  <si>
    <t>16400836</t>
  </si>
  <si>
    <t>18140000-2 Аксесуари до робочого одягу</t>
  </si>
  <si>
    <t xml:space="preserve">18140000-2 Аксесуари до робочого одягу (18141000-9 Робочі рукавиці (Рукавички гумові діелектричні) </t>
  </si>
  <si>
    <t>18140000-2 Аксесуари до робочого одягу (18141000-9 Робочі рукавиці (рукавички гумові господарські, рукавички х/б з крапкою)</t>
  </si>
  <si>
    <t>18140000-2 Аксесуари до робочого одягу (рукавички діалектичні безшовні)</t>
  </si>
  <si>
    <t>18141000-9 Робочі рукавиці</t>
  </si>
  <si>
    <t xml:space="preserve">18141000-9 Робочі рукавиці (Рукавички гумові діелектричні) </t>
  </si>
  <si>
    <t>18141000-9 Робочі рукавиці (рукавички гумові господарські, рукавички х/б з крапкою)</t>
  </si>
  <si>
    <t>18220000-7 Штормовий одяг (18221300-7 Дощовики( Плащ водостійкий(дощовик)</t>
  </si>
  <si>
    <t>18221300-7 Дощовики</t>
  </si>
  <si>
    <t>18221300-7 Дощовики( Плащ водостійкий(дощовик)</t>
  </si>
  <si>
    <t>1846313419</t>
  </si>
  <si>
    <t>188</t>
  </si>
  <si>
    <t>189</t>
  </si>
  <si>
    <t>190</t>
  </si>
  <si>
    <t>191</t>
  </si>
  <si>
    <t>192</t>
  </si>
  <si>
    <t>19240000-0 Спеціальні тканини</t>
  </si>
  <si>
    <t>19240000-0 Спеціальні тканини (19243000-1 Оббивальні тканини (Тканина оббивальна в рулонах)</t>
  </si>
  <si>
    <t>19240000-0 Спеціальні тканини (19243000-1 Оббивальні тканини (оббивальна тканина в рулонах)</t>
  </si>
  <si>
    <t>19243000-1 Оббивальні тканини</t>
  </si>
  <si>
    <t>19243000-1 Оббивальні тканини (Тканина оббивальна в рулонах)</t>
  </si>
  <si>
    <t>19288759</t>
  </si>
  <si>
    <t>193</t>
  </si>
  <si>
    <t>194</t>
  </si>
  <si>
    <t xml:space="preserve">19420000-6 Штучні та текстильні волокна (синтепон, поролон) </t>
  </si>
  <si>
    <t>19420000-6 Штучні текстильні волокна</t>
  </si>
  <si>
    <t>19420000-6 Штучні текстильні волокна (вінілісшкіра)</t>
  </si>
  <si>
    <t>19420000-6 Штучні текстильні волокна (кожзам на поролоні)</t>
  </si>
  <si>
    <t>19420000-6 Штучні текстильні волокна (поролон, вінілісшкіра)</t>
  </si>
  <si>
    <t>19420000-6 Штучні текстильні волокна (поролон, синтепон, вінілісшкіра)</t>
  </si>
  <si>
    <t>19420000-6 Штучні текстильні волокна (поролон, синтепон, вінілісшкіра, нитки, шнур капроновий)</t>
  </si>
  <si>
    <t>19480600</t>
  </si>
  <si>
    <t>195</t>
  </si>
  <si>
    <t>19510000-4 Гумові вироби</t>
  </si>
  <si>
    <t>19510000-4 Гумові вироби (ущільнювач 605.11.68.288)</t>
  </si>
  <si>
    <t>19510000-4 Гумові вироби (ущільнювачі, рукава, паси)</t>
  </si>
  <si>
    <t>19520000-7 Пластмасові вироби</t>
  </si>
  <si>
    <t xml:space="preserve">19520000-7 Пластмасові вироби (текстоліт, стрижень, склотекстолітовий, стрижень текстолітовий) </t>
  </si>
  <si>
    <t>19640000-4 Поліетиленові мішки та пакети для сміття</t>
  </si>
  <si>
    <t>19640000-4 Поліетиленові мішки та пакети для сміття (пакети для сміття)</t>
  </si>
  <si>
    <t>198</t>
  </si>
  <si>
    <t>200</t>
  </si>
  <si>
    <t>2006-1</t>
  </si>
  <si>
    <t>2017-А</t>
  </si>
  <si>
    <t>202</t>
  </si>
  <si>
    <t>203</t>
  </si>
  <si>
    <t>204</t>
  </si>
  <si>
    <t>205</t>
  </si>
  <si>
    <t>206</t>
  </si>
  <si>
    <t>20602681</t>
  </si>
  <si>
    <t>20616694</t>
  </si>
  <si>
    <t>208</t>
  </si>
  <si>
    <t>20836479</t>
  </si>
  <si>
    <t>20875278</t>
  </si>
  <si>
    <t>21</t>
  </si>
  <si>
    <t>210</t>
  </si>
  <si>
    <t>2105202051</t>
  </si>
  <si>
    <t>211</t>
  </si>
  <si>
    <t>2124418778</t>
  </si>
  <si>
    <t>213</t>
  </si>
  <si>
    <t>214</t>
  </si>
  <si>
    <t>21560766</t>
  </si>
  <si>
    <t>216</t>
  </si>
  <si>
    <t>21673832</t>
  </si>
  <si>
    <t>217</t>
  </si>
  <si>
    <t>218</t>
  </si>
  <si>
    <t>221</t>
  </si>
  <si>
    <t>221220-01</t>
  </si>
  <si>
    <t>2220020230</t>
  </si>
  <si>
    <t>22210000-5 Газети</t>
  </si>
  <si>
    <t>22210000-5 Газети (22213000-6 Журнали (єВидання Кадровик-01)</t>
  </si>
  <si>
    <t>22210000-5 Газети (е-журнал "Радник у сфері державних закупівель" (спецвипуск), журнал "Радник у сфері державних закупівель")</t>
  </si>
  <si>
    <t>223</t>
  </si>
  <si>
    <t>2230000-4 Апаратура для передавання радіосигналу з приймальним пристроєм (DS-2CD1323G0-IUF (2.8mm) (C) 2 MP Turret IP камера, DS-2CD2043G2-I (2.8mm) 4 Мп IP відеокамера з ІЧ підсвічуванням)</t>
  </si>
  <si>
    <t>2238101654</t>
  </si>
  <si>
    <t>224</t>
  </si>
  <si>
    <t>22450000-9 Друкована продукція з елементами захисту</t>
  </si>
  <si>
    <t xml:space="preserve">22450000-9 Друкована продукція з елементами захисту (22459000-2 Квитки (Разові квитки для проїзду у трамваї та тролейбусі) </t>
  </si>
  <si>
    <t xml:space="preserve">22450000-9 Друкована продукція з елементами захисту (22459000-2 Квитки (разові квитки для проїзду у трамваї та тролейбусі (учнівські) </t>
  </si>
  <si>
    <t>22459000-2 Квитки</t>
  </si>
  <si>
    <t>22460000-2 - Рекламні матеріали, каталоги товарів та посібники (іміджевий буклет КП ММР "Миколаївелектротранс" з календарем)</t>
  </si>
  <si>
    <t>22460000-2 Рекламні матеріали, каталоги товарів та посібники</t>
  </si>
  <si>
    <t>22460000-2 Рекламні матеріали, каталоги товарів та посібники (банери «дорожні знаки»)</t>
  </si>
  <si>
    <t>225</t>
  </si>
  <si>
    <t>226</t>
  </si>
  <si>
    <t>2261506715</t>
  </si>
  <si>
    <t>227</t>
  </si>
  <si>
    <t>2276900992</t>
  </si>
  <si>
    <t>228</t>
  </si>
  <si>
    <t>22810000-1 Паперові чи картонні реєстраційні журнали</t>
  </si>
  <si>
    <t>22810000-1 Паперові чи картонні реєстраційні журнали (журнали)</t>
  </si>
  <si>
    <t>22810000-1 Паперові чи картонні реєстраційні журнали (книги обліку, журнали, касові книги)</t>
  </si>
  <si>
    <t>22820000-4 Бланки</t>
  </si>
  <si>
    <t>22820000-4 Бланки (Касові книги самокопіювальні А5, залікові книжки)</t>
  </si>
  <si>
    <t>22820000-4 Бланки (Посвідчення)</t>
  </si>
  <si>
    <t>22820000-4 Бланки (квитково-облікові листи, штрафні квитанції, контрольні довідки про прийом грошей, відомості обліку, накладні, контрольні листи роботи контролерів, картки обліку, звіти, відомості виконання, табелі робочого часу, подорожні листи, перепустки, авансові звіти, прибуткові касові ордери, видаткові касові ордери)</t>
  </si>
  <si>
    <t>22820000-4 Бланки (свідоцтво про присвоєння РК, додаток до СРК)</t>
  </si>
  <si>
    <t>22820000-4- Бланки (Посвідчення,талони)</t>
  </si>
  <si>
    <t>22850000-3 Швидкозшивачі та супутнє приладдя (22852000-7 Теки (папки,швидкозшивачі)</t>
  </si>
  <si>
    <t>22852000-7 Теки</t>
  </si>
  <si>
    <t>22852000-7 Теки (папки,швидкозшивачі)</t>
  </si>
  <si>
    <t>229</t>
  </si>
  <si>
    <t>230</t>
  </si>
  <si>
    <t>231</t>
  </si>
  <si>
    <t>233</t>
  </si>
  <si>
    <t>23399393</t>
  </si>
  <si>
    <t>234</t>
  </si>
  <si>
    <t>237</t>
  </si>
  <si>
    <t>2370306364</t>
  </si>
  <si>
    <t>238</t>
  </si>
  <si>
    <t>239</t>
  </si>
  <si>
    <t>240</t>
  </si>
  <si>
    <t>241</t>
  </si>
  <si>
    <t>24110000-8 Промислові гази</t>
  </si>
  <si>
    <t>24110000-8 Промислові гази (газ вуглеводний скраплений 2711139700)</t>
  </si>
  <si>
    <t>242</t>
  </si>
  <si>
    <t>243</t>
  </si>
  <si>
    <t>24310000-0 Основні неорганічні хімічні речовини</t>
  </si>
  <si>
    <t>24310000-0 Основні неорганічні хімічні речовини (Набір для приготування калієво-літієвого електроліта)</t>
  </si>
  <si>
    <t xml:space="preserve">24310000-0 Основні неорганічні хімічні речовини (Сода кальцінована) </t>
  </si>
  <si>
    <t xml:space="preserve">24310000-0 Основні неорганічні хімічні речовини (вано хлорне, сода кальцинована) </t>
  </si>
  <si>
    <t>24310000-0 Основні неорганічні хімічні речовини (вапно хлорне, сода кальцинована)</t>
  </si>
  <si>
    <t xml:space="preserve">24310000-0 Основні неорганічні хімічні речовини (сіль для домінералізації тип 1Б (1 кг.)  </t>
  </si>
  <si>
    <t>244</t>
  </si>
  <si>
    <t>245</t>
  </si>
  <si>
    <t>2457604660</t>
  </si>
  <si>
    <t>246</t>
  </si>
  <si>
    <t>24600348</t>
  </si>
  <si>
    <t>2465501705</t>
  </si>
  <si>
    <t>247</t>
  </si>
  <si>
    <t>2471313049</t>
  </si>
  <si>
    <t>24786689</t>
  </si>
  <si>
    <t>24789699</t>
  </si>
  <si>
    <t>24790030</t>
  </si>
  <si>
    <t>249</t>
  </si>
  <si>
    <t>24950000-8 Спеціалізована хімічна продукція</t>
  </si>
  <si>
    <t>24950000-8 Спеціалізована хімічна продукція (Флюс зварювальний плавлений АН-348-АМ)</t>
  </si>
  <si>
    <t>24960000-1 Хімічна продукція різна</t>
  </si>
  <si>
    <t>24960000-1 Хімічна продукція різна (Антискалан Ecotec RO 2000 (у каністрах по 10 кг.)</t>
  </si>
  <si>
    <t>250</t>
  </si>
  <si>
    <t>2521201471</t>
  </si>
  <si>
    <t>253</t>
  </si>
  <si>
    <t>25377604</t>
  </si>
  <si>
    <t>25391094</t>
  </si>
  <si>
    <t>254</t>
  </si>
  <si>
    <t>255</t>
  </si>
  <si>
    <t>256</t>
  </si>
  <si>
    <t>2563001698</t>
  </si>
  <si>
    <t>257</t>
  </si>
  <si>
    <t>2586700212</t>
  </si>
  <si>
    <t>2587907433</t>
  </si>
  <si>
    <t>259</t>
  </si>
  <si>
    <t>259/1</t>
  </si>
  <si>
    <t>260</t>
  </si>
  <si>
    <t>2628307161</t>
  </si>
  <si>
    <t>263</t>
  </si>
  <si>
    <t>2632509193</t>
  </si>
  <si>
    <t>2635608017</t>
  </si>
  <si>
    <t>264</t>
  </si>
  <si>
    <t>2655201824</t>
  </si>
  <si>
    <t>2655809665</t>
  </si>
  <si>
    <t>266</t>
  </si>
  <si>
    <t>2666820800</t>
  </si>
  <si>
    <t>267</t>
  </si>
  <si>
    <t>268</t>
  </si>
  <si>
    <t>2681503953</t>
  </si>
  <si>
    <t>269</t>
  </si>
  <si>
    <t>270</t>
  </si>
  <si>
    <t>271</t>
  </si>
  <si>
    <t>272</t>
  </si>
  <si>
    <t>2734015816</t>
  </si>
  <si>
    <t>2778506172</t>
  </si>
  <si>
    <t>2794700936</t>
  </si>
  <si>
    <t>2827800729</t>
  </si>
  <si>
    <t>2834016330</t>
  </si>
  <si>
    <t>2861907739</t>
  </si>
  <si>
    <t>2888603030</t>
  </si>
  <si>
    <t>2925501614</t>
  </si>
  <si>
    <t>2934912154</t>
  </si>
  <si>
    <t>294</t>
  </si>
  <si>
    <t>2944601289</t>
  </si>
  <si>
    <t>295</t>
  </si>
  <si>
    <t>2951914372</t>
  </si>
  <si>
    <t>296</t>
  </si>
  <si>
    <t>2970400325</t>
  </si>
  <si>
    <t>299</t>
  </si>
  <si>
    <t>299/1</t>
  </si>
  <si>
    <t>2997510072</t>
  </si>
  <si>
    <t>301</t>
  </si>
  <si>
    <t>30126040</t>
  </si>
  <si>
    <t>30190000-7 Офісне устаткування та приладдя різне</t>
  </si>
  <si>
    <t>30190000-7 Офісне устаткування та приладдя різне (30197630-1 Папір для друку (папір офісний А4, папір офісний А4 офсетний, папір офісний А3)</t>
  </si>
  <si>
    <t xml:space="preserve">30190000-7 Офісне устаткування та приладдя різне (30199230-1 Конверти (Конверти С5(0+0)СКЛ 80г/м2, білизна СІЕ 164, конверти С6(0+0)СКЛ 80г/м2,білість СІЕ164, конверти Е65(0+О)СКЛ 80г/м2,білість СІЕ164, пакети С4(0+0), СКЛ 90г/м2,білизна СІЕ 164, 4040)
</t>
  </si>
  <si>
    <t xml:space="preserve">30190000-7 Офісне устаткування та приладдя різне (Папір) </t>
  </si>
  <si>
    <t xml:space="preserve">30190000-7 Офісне устаткування та приладдя різне (зошити, ручки, стрижні, файл-конверти, калькулятори, стиплери, олівці, маркери, ножиці, гумки, точили, папки, стрічки клейкі, клей ПВА, клей-олівці, стрічки коригуючи, коректори, швидкозшивачі, лінійки, папір для нотаток, закладки, грифелі) </t>
  </si>
  <si>
    <t xml:space="preserve">30190000-7 Офісне устаткування та приладдя різне (папір А4 Bright white multipurpose office paper 80г/м² 500 арк.) </t>
  </si>
  <si>
    <t>30190000-7 Офісне устаткування та приладдя різне(30197630-1 Папір для друку (папір офісний Under Price А4 (500 арк) 80 г/м²</t>
  </si>
  <si>
    <t>30197630-1 Папір для друку</t>
  </si>
  <si>
    <t>30197630-1 Папір для друку (папір офісний Under Price А4 (500 арк) 80 г/м²</t>
  </si>
  <si>
    <t>30210000-4 Машини для обробки даних (Моноблоки)</t>
  </si>
  <si>
    <t>30210000-4 Машини для обробки даних (апаратна частина)</t>
  </si>
  <si>
    <t>30230000-0 Комп'ютерне обладнання (30231000-7 Екрани комп'ютерних моніторів та консолі (монітор 10 дюймів Carex HV-100 IPS, монітор 2E F2422B (2E-F2422B-01.UA)</t>
  </si>
  <si>
    <t>30230000-0 Комп'ютерне обладнання (клавіатури OfficePro SK360 Black, комп'ютерні миши GENIUS NX-7015 Black)</t>
  </si>
  <si>
    <t>30230000-0 Комп’ютерне обладнання</t>
  </si>
  <si>
    <t>30230000-0 Комп’ютерне обладнання  (30232110-8 Лазерні принтери (багатофункціональний пристрій CANON MF453DW (змінний картридж Canon 057, Canon 057H) або еквівалент</t>
  </si>
  <si>
    <t xml:space="preserve">30230000-0 Комп’ютерне обладнання (30233000-1 Пристрої для зберігання та зчитування даних (Жорсткі диски), 30231000-7 Екрани комп’ютерних моніторів та консолі (Монітори)  </t>
  </si>
  <si>
    <t>30230000-0 Комп’ютерне обладнання (Монітор 23,8 Acer EK240YC (UM QE0EE C01)</t>
  </si>
  <si>
    <t>30231000-7 Екрани комп’ютерних моніторів та консолі</t>
  </si>
  <si>
    <t>30232110-8 Лазерні принтери</t>
  </si>
  <si>
    <t>30233000-1 Пристрої для зберігання та зчитування даних;30231000-7 Екрани комп’ютерних моніторів та консолі</t>
  </si>
  <si>
    <t>30256061</t>
  </si>
  <si>
    <t>3030915046</t>
  </si>
  <si>
    <t>304</t>
  </si>
  <si>
    <t>3047714294</t>
  </si>
  <si>
    <t>305</t>
  </si>
  <si>
    <t>30527776</t>
  </si>
  <si>
    <t>306</t>
  </si>
  <si>
    <t>307</t>
  </si>
  <si>
    <t>308</t>
  </si>
  <si>
    <t>3084212423</t>
  </si>
  <si>
    <t>31</t>
  </si>
  <si>
    <t>310</t>
  </si>
  <si>
    <t>311</t>
  </si>
  <si>
    <t>31120000-3 Генератори (31121110-4 Перетворювачі електричної енергії (Статистичний перетворювач бортового живлення SDMC-103-600/28-5)</t>
  </si>
  <si>
    <t>31121110-4 Перетворювачі електричної енергії</t>
  </si>
  <si>
    <t>31121110-4 Перетворювачі електричної енергії (Статистичний перетворювач бортового живлення SDMC-103-600/28-5)</t>
  </si>
  <si>
    <t>31150000-2 - Баласти для розрядних ламп чи трубок (31158000-8 - Зарядні пристрої (31158100-9 - Зарядні пристрої для акумуляторів (пуско-зарядний пристрій YATO: акумулятор 12/24 В, 50-340 А, 20-700 Ah, 230 В)</t>
  </si>
  <si>
    <t>31155567</t>
  </si>
  <si>
    <t>31158100-9 Зарядні пристрої для акумуляторів</t>
  </si>
  <si>
    <t>31159297</t>
  </si>
  <si>
    <t>31160000-5 Частини електродвигунів, генераторів і трансформаторів (31161000-2 Частини електродвигунів і генераторів (Електрощітки)</t>
  </si>
  <si>
    <t>31160000-5 Частини електродвигунів, генераторів і трансформаторів (31161000-2 Частини електродвигунів і генераторів (Електрощітки, щіткотримачі)</t>
  </si>
  <si>
    <t>31161000-2 Частини електродвигунів і генераторів</t>
  </si>
  <si>
    <t>31161000-2 Частини електродвигунів і генераторів (Електрощітки)</t>
  </si>
  <si>
    <t>312</t>
  </si>
  <si>
    <t>31210000-1 Електрична апаратура для комутування та захисту електричних кіл</t>
  </si>
  <si>
    <t>31210000-1 Електрична апаратура для комутування та захисту електричних кіл (31217000-0 Обмежувачі перенапруження (стабілізатор LogicPower LP-1750RD)</t>
  </si>
  <si>
    <t>31210000-1 Електрична апаратура для комутування та захисту електричних кіл (перемикач акб)</t>
  </si>
  <si>
    <t xml:space="preserve">31210000-4 Машини для обробки даних (апаратна частина) (моноблоки ARTLINE Business M61v07) </t>
  </si>
  <si>
    <t>31220000-4 Елементи електричних схем</t>
  </si>
  <si>
    <t>31220000-4 Елементи електричних схем (31224500-7 Затискачі (монтажні затискачі МКЗ-1)</t>
  </si>
  <si>
    <t>3125224871</t>
  </si>
  <si>
    <t>3128202596</t>
  </si>
  <si>
    <t>31299514</t>
  </si>
  <si>
    <t>31340000-1 Приладдя до ізольованих кабелів</t>
  </si>
  <si>
    <t xml:space="preserve">31340000-1 Приладдя до ізольованих кабелів (31343000-2 Муфти для ізольованих кабелів (з’єднувальні та кінцеві термоусаджувальні муфти) </t>
  </si>
  <si>
    <t xml:space="preserve">31340000-1 Приладдя до ізольованих кабелів (31343000-2 Муфти для ізольованих кабелів (з’єднувальні та термоусаджувальні муфти) </t>
  </si>
  <si>
    <t>31343000-2 Муфти для ізольованих кабелів</t>
  </si>
  <si>
    <t xml:space="preserve">31343000-2 Муфти для ізольованих кабелів (з’єднувальні та термоусаджувальні муфти) </t>
  </si>
  <si>
    <t>314</t>
  </si>
  <si>
    <t>31430000-9 Електричні акумулятори (31432000-3 Нікелево-кадмієві акумуляторні батареї (акумуляторна батарея KL160P)</t>
  </si>
  <si>
    <t>31430000-9 Електричні акумулятори (31434000-7 Літієві акумуляторні батареї (Акумулятор INR18650-26E 0 0UCEEA20306B1A36 0031162)</t>
  </si>
  <si>
    <t>31432000-3 Нікелево-кадмієві акумуляторні батареї</t>
  </si>
  <si>
    <t>31432000-3 Нікелево-кадмієві акумуляторні батареї (акумуляторна батарея KL160P)</t>
  </si>
  <si>
    <t>31434000-7 Літієві акумуляторні батареї</t>
  </si>
  <si>
    <t>31434000-7 Літієві акумуляторні батареї (Акумулятор INR18650-26E 0 0UCEEA20306B1A36 0031162)</t>
  </si>
  <si>
    <t>31440000-2 Акумуляторні батареї</t>
  </si>
  <si>
    <t>31440000-2: Акумуляторні батареї (акумулятори Bosch S5 Silver Plus 0 092 S50 150, акумулятори Inci Aku SuprA 190ah 1100A, акумулятори Varta Silver Dynamic Agm (H15) 105 ah 950F R+)</t>
  </si>
  <si>
    <t>31448144</t>
  </si>
  <si>
    <t>315</t>
  </si>
  <si>
    <t>3150005613</t>
  </si>
  <si>
    <t>3150223384</t>
  </si>
  <si>
    <t>31510000-4 Електричні лампи розжарення</t>
  </si>
  <si>
    <t>31510000-4 Електричні лампи розжарення ( Лампи світодіодні)</t>
  </si>
  <si>
    <t xml:space="preserve">31510000-4 Електричні лампи розжарення (Лампи) </t>
  </si>
  <si>
    <t>31520000-7 Світильники та освітлювальна апаратура (ліхтарі переносні)</t>
  </si>
  <si>
    <t>31520000-7 Світильники та освітлювальна арматура</t>
  </si>
  <si>
    <t>31520000-7 Світильники та освітлювальна арматура (31521320-3 Портативні ліхтарі (Налобний світлодіодний ліхтарик VIDEX VLF-H035C 410Lm 5000K Ліхтар переносний YAJIA Yj- 2829)</t>
  </si>
  <si>
    <t xml:space="preserve">31520000-7 Світильники та освітлювальна арматура (Налобні світлодіодні ліхтарі VIDEX VLFH015 330Lm 50000K) </t>
  </si>
  <si>
    <t>31521320-3 Портативні ліхтарі</t>
  </si>
  <si>
    <t>31530000-0 Частини до світильників та освітлювального обладнання (31531000-7 Лампи (лампи, LED лампи, лампи Osram, світлодіодний модуль для тролейбуса, лампи VIDEX, лампи світлодіодні, фари протитуманні, фари основні комплект, фари багатофункціональні задні)</t>
  </si>
  <si>
    <t>31531000-7 Лампи</t>
  </si>
  <si>
    <t>316</t>
  </si>
  <si>
    <t>31610000-5 Електричне обладнання для двигунів і транспортних засобів</t>
  </si>
  <si>
    <t>31610000-5 Електричне обладнання для двигунів і транспортних засобів (31612300-2 Електросигнальні системи керування двигуном (комплект обладнання для модернізації тролейбуса ЛАЗ Е-183 з автономним ходом до 20 км)</t>
  </si>
  <si>
    <t>31650000-7 Ізоляційне приладдя</t>
  </si>
  <si>
    <t>31650000-7 Ізоляційне приладдя (електрокартон, стрічка кіперна, стрічка скляна, пруток поліамідний, смола ЭД-20, затверджувач, склоплівкослюдопласт, стрічка ізоляційна ПВХ)</t>
  </si>
  <si>
    <t xml:space="preserve">31650000-7 Ізоляційне приладдя (електрокартон, стрічка кіперна, стрічка скляна, пруток поліамідний, стрічка термостійка, лак МЛ-92, трубки ТЛВ, сінофлекс, смола ЭД-20, затверджувач ПЭПА, склоплівкослюдопласт, стрічка ізоляційна ПВХ) </t>
  </si>
  <si>
    <t>31660000-0 Вугільні електроди</t>
  </si>
  <si>
    <t>31660000-0 Вугільні електроди (вставки вугільні)</t>
  </si>
  <si>
    <t>31662445</t>
  </si>
  <si>
    <t>31680000-6  Електричне приладдя та супутні товари до електричного обладнання (пристрій для проколу кабелю ППК-10)</t>
  </si>
  <si>
    <t>31680000-6 Електричне приладдя та супутні товари до електричного обладнання</t>
  </si>
  <si>
    <t>31680000-6 Електричне приладдя та супутні товари до електричного обладнання (31682100-1 Електрошафи ( шафа електротехнічна 400*400*200)</t>
  </si>
  <si>
    <t>31710000-6 Електронне обладнання</t>
  </si>
  <si>
    <t>31710000-6 Електронне обладнання (31711130-3 Резистори (резистори), 31712350-8 Транзистори (транзистори), 31712352-2 Польові транзистори (транзистор польовий)</t>
  </si>
  <si>
    <t>31710000-6 Електронне обладнання (тиристори, діоди, резистори)</t>
  </si>
  <si>
    <t>31711130-3 Резистори (резистори); 31712350-8 Транзистори (транзистори); 31712352-2 Польові транзистори (транзистор польовий)</t>
  </si>
  <si>
    <t>31711130-3 Резистори;31712350-8 Транзистори;31712352-2 Польові транзистори</t>
  </si>
  <si>
    <t>31720000-9 Електромеханічне обладнання</t>
  </si>
  <si>
    <t>31720000-9 Електромеханічне обладнання (головка струмоприймача, ремкоплекти, п'ята головки струмоприймача, вкладиш, головки струмоприймача, утримувач головки струмоприймача, щічка головки струмоприймача, токоз’ємна втулка головки струмоприймача, транзисторний модуль, мотор редуктора склоочисника, вентилятор трамваю, пряжка головки струмоприймача, реле, котушки, клемна коробка, плата обмежувального реле трамвая, обігрівачі салону, котушка рельсового гальма, кільце ізоляційне)</t>
  </si>
  <si>
    <t>31730000-2 Електротехнічне обладнання</t>
  </si>
  <si>
    <t>31730000-2 Електротехнічне обладнання (31731000-9 Електротехнічне приладдя (Контактори, запобіжники, тримачі, вимикачі, датчики, термоблоки, щіткотримачі, грозорозрядники, реле, комутаційні пристрої, перемикачі, елементи кулачкові)</t>
  </si>
  <si>
    <t>31730000-2 Електротехнічне обладнання (контактори, ручка перемикача, комутуючі блоки, перемикачі, блок-контакт контактора, камера, котушка контактора, контакти, контактори, основа дугогасильної котушки, резистори, реле, електричний роз’їм пнемо розподілювача, елемент кулачковий, гнучкий вал склоочисника, вимикач навантаження, контролер, датчик струму)</t>
  </si>
  <si>
    <t>31731000-9 Електротехнічне приладдя</t>
  </si>
  <si>
    <t>318</t>
  </si>
  <si>
    <t>3193209698</t>
  </si>
  <si>
    <t>31946036</t>
  </si>
  <si>
    <t>3197925456</t>
  </si>
  <si>
    <t>32092696</t>
  </si>
  <si>
    <t>32143183</t>
  </si>
  <si>
    <t>32230000-4 Апаратура для передавання радіосигналу з приймальним пристроєм</t>
  </si>
  <si>
    <t xml:space="preserve">32230000-4 Апаратура для передавання радіосигналу з приймальним пристроєм (32234000-2 Камери відеоспостереження (Відеокамери) </t>
  </si>
  <si>
    <t>32230000-4 Апаратура для передавання радіосигналу з приймальним пристроєм (32234000-2 Камери відеоспостереження (Камера FD9360-H)</t>
  </si>
  <si>
    <t>32230000-4 Апаратура для передавання радіосигналу з приймальним пристроєм (32234000-2 Камери відеоспостереження (відеокамера Hikvision DS-2CE56D8T-ITMF, відеокамера цифрова Hikvision DS-2CD1323G2-IUF)</t>
  </si>
  <si>
    <t>32234000-2 Камери відеоспостереження</t>
  </si>
  <si>
    <t xml:space="preserve">32234000-2 Камери відеоспостереження (Відеокамери) </t>
  </si>
  <si>
    <t>32250000-0 Мобільні телефони</t>
  </si>
  <si>
    <t>32250000-0 Мобільні телефони( Мобільний телефон Sigma mobile X-style 31 Power Type -C Dual Sim black)</t>
  </si>
  <si>
    <t>32250000-0 Мобільні телефони( Телефон мобільний Sigma  X-style 351 LIDER(blue),  Телефон мобільний Sigma  X-style 351 LIDER(black)</t>
  </si>
  <si>
    <t>32320000-2 Телевізійне й аудіовізуальне обладнання</t>
  </si>
  <si>
    <t>32320000-2 Телевізійне й аудіовізуальне обладнання (ТВ-приставка Mini PC-X3, 4G, 32G, UA USB 3.0 Android 9 (X96Max+/4)</t>
  </si>
  <si>
    <t>32330000-5 Апаратура для запису та відтворення аудіо- та відеоматеріалу</t>
  </si>
  <si>
    <t xml:space="preserve">32330000-5 Апаратура для запису та відтворення аудіо- та відеоматеріалу (32333300-9 Відеовідтворювальна апаратура (Відеореєстратори)
</t>
  </si>
  <si>
    <t>32330000-5 Апаратура для запису та відтворення аудіо- та відеоматеріалу (32333300-9 Відеовідтворювальна апаратура (відеореєстратор Hikvision DS-7108HQHI-K1 (C) (S)</t>
  </si>
  <si>
    <t xml:space="preserve">32330000-5 Апаратура для запису та відтворення аудіо- та відеоматеріалу (мультимедійна система автомобільна) </t>
  </si>
  <si>
    <t>32330000-5 Апаратура для запису та відтворення аудіо- та відеоматеріалу(32333300-9 Відеовідтворювальна апаратура ( Нагрудні відеореєстратори Tecsar BDC-46-GWCP)</t>
  </si>
  <si>
    <t>32333300-9 Відеовідтворювальна апаратура</t>
  </si>
  <si>
    <t>32333300-9 Відеовідтворювальна апаратура (Відеореєстратори)</t>
  </si>
  <si>
    <t>32420000-3 Мережеве обладнання (32422000-7 Мережеві компоненти (РОЕ комутатор Merlion 8 POE 10/100 + 2 Rj45 10/100/1000, медіаконвертер (комплект) 100Мб/с (32421000-0 Мережеві кабелі (кабель оптичний UT-004)</t>
  </si>
  <si>
    <t>32422000-7 Мережеві компоненти;32421000-0 Мережеві кабелі</t>
  </si>
  <si>
    <t>3245311886</t>
  </si>
  <si>
    <t>32459822</t>
  </si>
  <si>
    <t>32490244</t>
  </si>
  <si>
    <t>32512498</t>
  </si>
  <si>
    <t>3262302754</t>
  </si>
  <si>
    <t>3285417224</t>
  </si>
  <si>
    <t>32938047</t>
  </si>
  <si>
    <t>33010822</t>
  </si>
  <si>
    <t>3311108107</t>
  </si>
  <si>
    <t>33140000-1 Медичне обладнання (бинт перев'язочний 5м*10см н/ст., бинт перев'язочний 7м*14см н/ст., вата 50 г н/ст., палички вушні, пластир 1,9см*7,2см ткан. 2В №10)</t>
  </si>
  <si>
    <t>33140000-3 Медичні матеріали</t>
  </si>
  <si>
    <t>33190000-8 Медичне обладнання та вироби медичного призначення різні (33199000-1 Одяг для медичного персоналу (Халат медичний)</t>
  </si>
  <si>
    <t>33199000-1 Одяг для медичного персоналу</t>
  </si>
  <si>
    <t>33199000-1 Одяг для медичного персоналу (Халат медичний)</t>
  </si>
  <si>
    <t>33600000-6 Фармацевтична продукція</t>
  </si>
  <si>
    <t>33600000-6 Фармацевтична продукція (ацетилсаліцилова к-та, валідол табл. 0,06 г № 10, йод р-н спирт. 5% 20 мл, каптопрес-дарниця табл. № 20, корвалмент капс. 100 мг № 80, корвалол краплі 25 мл, лоперамід табл. 2 мг № 20, пантенол спрей 136 г, перекису водню р-н 3% 100 мл полімерний фл., спазмалгон табл. №50, цитрамон-В табл. №10)</t>
  </si>
  <si>
    <t>3363204628</t>
  </si>
  <si>
    <t>33710000-0 Парфуми, засоби гігієни та презервативи</t>
  </si>
  <si>
    <t xml:space="preserve">33710000-0 Парфуми, засоби гігієни та презервативи (33711900-6 Мило (мило господарське 72%, мило рідке) </t>
  </si>
  <si>
    <t>33710000-0 Парфуми, засоби гігієни та презервативи (33711900-6 Мило(мило рідке, мило господарське)</t>
  </si>
  <si>
    <t>33711900-6 Мило</t>
  </si>
  <si>
    <t>33711900-6 Мило(мило рідке, мило господарське)</t>
  </si>
  <si>
    <t>33730108</t>
  </si>
  <si>
    <t>33760000-5 Туалетний папір, носові хустинки, рушники для рук і серветки</t>
  </si>
  <si>
    <t>33760000-5 Туалетний папір, носові хустинки, рушники для рук і серветки (33761000-2 Туалетний папір (Туалетний папір «Обухів»)</t>
  </si>
  <si>
    <t>33760000-5 Туалетний папір, носові хустинки, рушники для рук і серветки (33761000-2 Туалетний папір (папір туалетний)</t>
  </si>
  <si>
    <t>33761000-2 Туалетний папір</t>
  </si>
  <si>
    <t>33761000-2 Туалетний папір (папір туалетний)</t>
  </si>
  <si>
    <t>33853813</t>
  </si>
  <si>
    <t>3399207172</t>
  </si>
  <si>
    <t xml:space="preserve">34110000-1 - Легкові автомобілі (автомобіль PEUGEOT Traveller BUSINESS або еквівалент) </t>
  </si>
  <si>
    <t>34110000-1 Легкові автомобілі</t>
  </si>
  <si>
    <t>3420409543</t>
  </si>
  <si>
    <t>34310000-3 Двигуни та їх частини (34311000-0 Двигуни (Електродвигуни)</t>
  </si>
  <si>
    <t>34311000-0 Двигуни</t>
  </si>
  <si>
    <t>34318917</t>
  </si>
  <si>
    <t>34320000-6 - Механічні запасні частини, крім двигунів і частин двигунів (Шкворені, ущільнення шкворенів, амортизатори, тяги, наконечники, болти, гайки, відбійники пневмобалону, камери гальмівні, балони пневматичні, кришки пневморесори, поршні, супорти, вал, перемикачі, ремкомплекти супорту, подушки амортизатора, рульові механізми, клапани, крани регулятори, ущільнення валу хвостовика, втулки, сайлентблоки, пильники)</t>
  </si>
  <si>
    <t>34320000-6 Механічні запасні частини, крім двигунів і частин двигунів</t>
  </si>
  <si>
    <t>34320000-6 Механічні запасні частини, крім двигунів і частин двигунів (34322300-3 Гальмові накладки (накладки гальмівні)</t>
  </si>
  <si>
    <t>34320000-6 Механічні запасні частини, крім двигунів і частин до двигунів (амортизатор, пневмобалони, стакан пневмобалону, кришка пневмобалону, шестерня відома і ведуча, педаль гальма, регулятор положення кузову, гальмівні барабани, важіль регулювання, колодки гальмівні, накінечники рульової тяги, кутовий редуктор, шланг гальмівний, камери гальмівні, клапан обмеження тиску, вологомасловідділювач, фланець, кільця цапфи, кільця, щит гальма, кронштейн кріплення штанги реактивної, муфти, рульова колонка, штанги реактивні, тяга рульова, манжета, клавішний вимикач панелі приборів, диски гальмівні, комплект гальмівних колодок дискових)</t>
  </si>
  <si>
    <t>34320000-6 Механічні запчастини, крім двигунів і частин двигунів (амортизатори, важіль задній, вимикач маси, втулки шкворні, енергоакумулятори, клапани, накінечники рульової тяги, осушувач з регулятором тиску, регулятори положення кузова, сайлентблоки рульової тяги, фільтр осушувача, шкворінь, шпильки, колодка гальмівна, адсорбер, блок-контакт до контактора, головні контакти, втулка цапфи)</t>
  </si>
  <si>
    <t>34322300-3 Гальмові накладки</t>
  </si>
  <si>
    <t>34322300-3 Гальмові накладки(накладки гальмівні)</t>
  </si>
  <si>
    <t>34324000-4 Колеса, частини та приладдя до них;34322000-0 Гальма та частини гальм;34322100-1 Гальмівне обладнання;34327000-5 Керма, кермові колонки та кермові механізми;34326100-9 Муфти зчеплення та супутні деталі;34322200-2 Дискові гальма;34322400-4 Гальмові колодки (дискові)</t>
  </si>
  <si>
    <t>34350000-5 Шини для транспортних засобів великої та малої тоннажності</t>
  </si>
  <si>
    <t>34350000-5 Шини для транспортних засобів великої та малої тоннажності (шини)</t>
  </si>
  <si>
    <t>34370000-1 Сидіння для мототранспортних засобів</t>
  </si>
  <si>
    <t>34370000-1 Сидіння для мототранспортних засобів (сидіння пасажирські, кожухи сидіння нижні, кожухи спинки сидіння)</t>
  </si>
  <si>
    <t>34630000-2 Частини залізничних або трамвайних локомотивів чи рейкового рухомого складу; обладнання для контролю залізничного руху</t>
  </si>
  <si>
    <t>34630000-2 Частини залізничних або трамвайних локомотивів чи рейкового рухомого складу; обладнання для контролю залізничного руху (34631000-9 Частини локомотивів чи рухомого складу (комплект дверей вхідних до трамваю КТМ-5 МЗ-ВП)</t>
  </si>
  <si>
    <t>34630000-2 Частини залізничних або трамвайних локомотивів чи рейкового рухомого складу; обладнання для контролю залізничного руху (34631400-3 Колісні осі та бандажі й інші частини локомотивів чи рейкового рухомого складу (Вісь колісної пари КТМ, Вісь колісної пари Т3, Бандаж трамвайного колеса вагону КТМ, Бандаж трамвайного колеса вагону Т3)</t>
  </si>
  <si>
    <t>34910000-9 - Гужові чи ручні вози, інші транспортні засоби з немеханічним приводом, багажні вози та різні запасні частини (34911100-7 ручні візки (тачки 1-колесні оцинковані пінополіуретанові 90л/180кл, ИЦ)</t>
  </si>
  <si>
    <t>34910000-9 Гужові чи ручні вози, інші транспортні засоби з немеханічним приводом, багажні вози та різні запасні частини</t>
  </si>
  <si>
    <t>34940000-8 Залізничне обладнання</t>
  </si>
  <si>
    <t>34940000-8 Залізничне обладнання (рейки, накладки трамвайні, шпали дерев’яні, болти, підкладки, прокладки, милиця шляхова, гайка колінна, шайби, клеми, втулка ізоляційна, пружина, тяга комплектна колійна, пересічення трамвайне зварене праве, температурний компенсатор, стрілки з поворотним пером, стрілки глухі, хрестовини, перо стр/переводу)</t>
  </si>
  <si>
    <t>34980000-0 Транспортні квитки</t>
  </si>
  <si>
    <t>34980000-0 Транспортні квитки (Місячні проїзні квитки, 15-денні проїзні квитки на трамвай та тролейбус)</t>
  </si>
  <si>
    <t>34981052</t>
  </si>
  <si>
    <t>34990000-3 Регулювальне, запобіжне, сигнальне та освітлювальне обладнання</t>
  </si>
  <si>
    <t>34990000-3 Регулювальне, запобіжне, сигнальне та освітлювальне обладнання (знаки «Вогнегасник»)</t>
  </si>
  <si>
    <t>34992200-9 Дорожні знаки</t>
  </si>
  <si>
    <t>3499405013</t>
  </si>
  <si>
    <t>35</t>
  </si>
  <si>
    <t>35110000-8 Протипожежне, рятувальне та захисне обладнання</t>
  </si>
  <si>
    <t xml:space="preserve">35110000-8 Протипожежне, рятувальне та захисне обладнання (35111300-8 Вогнегасники (Вогнегасники ВП-2(з) </t>
  </si>
  <si>
    <t>35110000-8 Протипожежне, рятувальне та захисне обладнання (35111300-8 Вогнегасники (вогнегасник ВП-2(з)</t>
  </si>
  <si>
    <t>35110000-8 Протипожежне, рятувальне та захисне обладнання (35113440-5 Світловідбивні жилети (Жилети сигнальні помаранчеві)</t>
  </si>
  <si>
    <t>35111300-8 Вогнегасники</t>
  </si>
  <si>
    <t>35111300-8 Вогнегасники (вогнегасник ВП-2(з)</t>
  </si>
  <si>
    <t>35113440-5 Світловідбивні жилети</t>
  </si>
  <si>
    <t>35113440-5 Світловідбивні жилети (Жилети сигнальні помаранчеві)</t>
  </si>
  <si>
    <t>35120000-1 Системи та пристрої нагляду та охорони</t>
  </si>
  <si>
    <t xml:space="preserve">35120000-1 Системи та пристрої нагляду та охорони (Ajax Hub 2(8EU) UA black охоронна централь, Ajax CombiProtect white EU датчики руху та розбиття, Ajax DoorProtect black EU датчик відкриття, Ajax DoorProtect white EU датчик відкриття) </t>
  </si>
  <si>
    <t>35302431</t>
  </si>
  <si>
    <t>3531301487</t>
  </si>
  <si>
    <t>35513211</t>
  </si>
  <si>
    <t>35596172</t>
  </si>
  <si>
    <t>3564306551</t>
  </si>
  <si>
    <t>35858132</t>
  </si>
  <si>
    <t>36</t>
  </si>
  <si>
    <t>36159024</t>
  </si>
  <si>
    <t>36317648</t>
  </si>
  <si>
    <t>36408462</t>
  </si>
  <si>
    <t>36476580</t>
  </si>
  <si>
    <t>365</t>
  </si>
  <si>
    <t>366</t>
  </si>
  <si>
    <t>36622014</t>
  </si>
  <si>
    <t>36694398</t>
  </si>
  <si>
    <t>367</t>
  </si>
  <si>
    <t>36792193</t>
  </si>
  <si>
    <t>36865753</t>
  </si>
  <si>
    <t>37</t>
  </si>
  <si>
    <t>370</t>
  </si>
  <si>
    <t>3704</t>
  </si>
  <si>
    <t>37316467</t>
  </si>
  <si>
    <t>374</t>
  </si>
  <si>
    <t>37502259</t>
  </si>
  <si>
    <t>37533381</t>
  </si>
  <si>
    <t>377</t>
  </si>
  <si>
    <t>37716155</t>
  </si>
  <si>
    <t>378</t>
  </si>
  <si>
    <t>379</t>
  </si>
  <si>
    <t>37941143</t>
  </si>
  <si>
    <t>38</t>
  </si>
  <si>
    <t>381</t>
  </si>
  <si>
    <t>38295925</t>
  </si>
  <si>
    <t>38310000-1 Високоточні терези (38311000-8 Електронні ваги та приладдя до них (Ваги платформні ВПД, 300кг/50г, 600*800мм, дротові)</t>
  </si>
  <si>
    <t>38311000-8 Електронні ваги та приладдя до них</t>
  </si>
  <si>
    <t>38311000-8 Електронні ваги та приладдя до них (Ваги платформні ВПД, 300кг/50г, 600*800мм, дротові)</t>
  </si>
  <si>
    <t>384</t>
  </si>
  <si>
    <t>38420000-5 Прилади для вимірювання витрати, рівня та тиску рідин і газів</t>
  </si>
  <si>
    <t>38420000-5 Прилади для вимірювання витрати, рівня та тиску рідин і газів (манометри)</t>
  </si>
  <si>
    <t>38430000-8 Детектори та аналізатори (38434000-6 Тестери (Алкотестер АЛКОФОР IBLOW 10)</t>
  </si>
  <si>
    <t>38434000-6 Тестери</t>
  </si>
  <si>
    <t>38454636</t>
  </si>
  <si>
    <t>385</t>
  </si>
  <si>
    <t>38560000-8 Лічильники продукції (38561100-6 Автомобільні спідометри (GPS спідометр ECMS чорний)</t>
  </si>
  <si>
    <t>38561100-6 Автомобільні спідометри</t>
  </si>
  <si>
    <t>38561100-6 Автомобільні спідометри(GPS спідометр ECMS чорний)</t>
  </si>
  <si>
    <t>386</t>
  </si>
  <si>
    <t>38635706</t>
  </si>
  <si>
    <t>38643539</t>
  </si>
  <si>
    <t>387</t>
  </si>
  <si>
    <t>38773958</t>
  </si>
  <si>
    <t>388</t>
  </si>
  <si>
    <t>389</t>
  </si>
  <si>
    <t>38920229</t>
  </si>
  <si>
    <t>38923104</t>
  </si>
  <si>
    <t>38976711</t>
  </si>
  <si>
    <t>38983137</t>
  </si>
  <si>
    <t>39</t>
  </si>
  <si>
    <t>390</t>
  </si>
  <si>
    <t>391</t>
  </si>
  <si>
    <t xml:space="preserve">39110000-6 - Сидіння, стільці та супутні вироби і частини до них (39113600-3 Лавки (Лавки для сидіння 1600*350*450) </t>
  </si>
  <si>
    <t>39110000-6 Сидіння, стільці та супутні вироби і частини до них</t>
  </si>
  <si>
    <t>39110000-6 Сидіння, стільці та супутні вироби і частини до них (Крісло ATLANT EX LE-K 1.031, стільці на рамі ISO black 17-C11)</t>
  </si>
  <si>
    <t>39110000-6 Сидіння, стільці та супутні вироби і частини до них (стільці на рамі ISO)</t>
  </si>
  <si>
    <t>39111446</t>
  </si>
  <si>
    <t>39113600-3 Лавки</t>
  </si>
  <si>
    <t>39120000-9 Столи, серванти, письмові столи та книжкові шафи</t>
  </si>
  <si>
    <t>39120000-9 Столи, серванти, письмові столи та книжкові шафи (39121200-8 Столи (Столи 1400*600*750, 1400*1200*750, 1000*600*750, 1300*600*750, 1700*750*750, стіл з полицею для папок 1300*650*750 (391222005 Книжкові шафи (Шафи для документів відкриті 700*350*2000, 1200*400*1200)</t>
  </si>
  <si>
    <t>39120000-9 Столи, серванти, письмові столи та книжкові шафи (столи, стільниці)</t>
  </si>
  <si>
    <t>39120000-9: Столи, серванти, письмові столи та книжкові шафи (Стіл 1500*700*750 горіх каліфорнійський, стіл 1000*600*750 горіх каліфорнійський, шкаф 900*350*2000 горіх каліфорнійський, шафи 900*450*2500 дуб сонома, шафа для одягу 600*450*2500 дуб сонома, столи 1200*650*750 правий дуб сонома, шафи 900*400*2400 дуб сонома)</t>
  </si>
  <si>
    <t>39121200-8 Столи;39122200-5 Книжкові шафи</t>
  </si>
  <si>
    <t xml:space="preserve">39130000-2 - Офісні меблі (Тумби) </t>
  </si>
  <si>
    <t>39130000-2 Офісні меблі</t>
  </si>
  <si>
    <t>39140000-5 - Меблі для дому (39141100-3 – Полиці (Полиця навісна 875*300*675 дуб сонома)</t>
  </si>
  <si>
    <t>39141100-3 Полиці</t>
  </si>
  <si>
    <t>39160000-1 Шкільні меблі</t>
  </si>
  <si>
    <t>39160000-1 Шкільні меблі (стільці учнівські, столи учнівські, стіл викладача однотумбовий)</t>
  </si>
  <si>
    <t>392</t>
  </si>
  <si>
    <t>39220000-0 Кухонне приладдя, товари для дому та господарства і приладдя для закладів громадського харчування</t>
  </si>
  <si>
    <t>39220000-0 Кухонне приладдя, товари для дому та господарства і приладдя для закладів громадського харчування (39224000-8 - Мітли, щітки та інше господарське приладдя (швабри з віджимом, швабри полотер, мітли капронові)</t>
  </si>
  <si>
    <t>39220000-0 Кухонне приладдя, товари для дому та господарства і приладдя для закладів громадського харчування (39224330-0 Відра  (відра оцинковані, відра пластикові, відра прямокутні)</t>
  </si>
  <si>
    <t xml:space="preserve">39220000-0 Кухонне приладдя, товари для дому та господарства і приладдя для закладів громадського харчування (шкребок металевий) (39224320-7 Губки (губка поролонова, губка поролонова велика) (39224300-1 Мітли, щітки та інше прибиральне приладдя (швабра з віджимом, віник сорго) </t>
  </si>
  <si>
    <t>39224330-0 Відра</t>
  </si>
  <si>
    <t>39224330-0 Відра  (відра оцинковані, відра пластикові, відра прямокутні)</t>
  </si>
  <si>
    <t xml:space="preserve">39240000-6  Різальні інструменти (39241200-5 Ножиці (Ножиці секторні для різання кабелю ⌀130мм Стандарт) </t>
  </si>
  <si>
    <t>39240000-6 Різальні інструменти (39241200-5 Ножиці (Ножиці секторні для різання кабелю ⌀ 100 мм Стандарт)</t>
  </si>
  <si>
    <t>39241200-5 Ножиці</t>
  </si>
  <si>
    <t>39241200-5 Ножиці (Ножиці секторні для різання кабелю ⌀ 100 мм Стандарт)</t>
  </si>
  <si>
    <t xml:space="preserve">39241200-5 Ножиці (Ножиці секторні для різання кабелю ⌀130мм Стандарт) </t>
  </si>
  <si>
    <t>39290000-1 - Фурнітура різна (39294100-0 - Інформаційна та рекламна продукція (наліпки оракал з УФ друком 80*140мм)</t>
  </si>
  <si>
    <t>39290000-1 Фурнітура різна</t>
  </si>
  <si>
    <t xml:space="preserve">39290000-1 Фурнітура різна (39294100-0 Інформаційна та рекламна продукція (листівки) </t>
  </si>
  <si>
    <t>39290000-1 Фурнітура різна (39294100-0 Інформаційна та рекламна продукція (наклейки рекламні)</t>
  </si>
  <si>
    <t>39290000-1 Фурнітура різна (39294100-0 Інформаційна та рекламна продукція (таблички з композиту та УФ друком 450мм*1550мм, банерна сітка з друком та люверсами по периметру 3000мм*9200мм)</t>
  </si>
  <si>
    <t>39290000-1 Фурнітура різна (39294100-0 Інформаційна та рекламна продукція (інформаційні банери)</t>
  </si>
  <si>
    <t xml:space="preserve">39290000-1 Фурнітура різна (39294100-0 Інформаційна те рекламна продукція (таблички, наліпки) </t>
  </si>
  <si>
    <t xml:space="preserve">39290000-1 Фурнітура різна (Поручні підвісні)  </t>
  </si>
  <si>
    <t xml:space="preserve">39290000-1 Фурнітура різна (поручні підвісні) </t>
  </si>
  <si>
    <t>39294100-0 Інформаційна та рекламна продукція</t>
  </si>
  <si>
    <t>393</t>
  </si>
  <si>
    <t>39328390</t>
  </si>
  <si>
    <t>39370000-6 Водопровідне обладнання</t>
  </si>
  <si>
    <t xml:space="preserve">39370000-6 Водопровідне обладнання (муфти, труби, кухонний змішувач, американка, змішувачі на умивальник, сифон для умивальника, планка під змішувач, водонагрівач електричний, коліно, кутки, заглушка, шланги для води, кульові крани, бухти, трійники, кріплення, змішувач душовий, перехідники, гофра армована для унітазу,  умивальники, колона, компакт корал, піддон душовий, трап для душу, кути, клапани зворотного ходу, фільтр, заглушка)  </t>
  </si>
  <si>
    <t>39376560</t>
  </si>
  <si>
    <t>39385045</t>
  </si>
  <si>
    <t>394</t>
  </si>
  <si>
    <t>395</t>
  </si>
  <si>
    <t>39510000-0 Вироби домашнього текстилю</t>
  </si>
  <si>
    <t>39510000-0 Вироби домашнього текстилю (39515400-9 Жалюзі (вертикальні жалюзі)</t>
  </si>
  <si>
    <t>39510000-0 Вироби домашнього текстилю (39515400-9 Жалюзі (жалюзі)</t>
  </si>
  <si>
    <t>39515400-9 Жалюзі</t>
  </si>
  <si>
    <t>39520000-3 Готові текстильні вироби</t>
  </si>
  <si>
    <t xml:space="preserve">39520000-3 Готові текстильні вироби (39522110-1 - Брезентові вироби (брезент, ремінь брезентовий) </t>
  </si>
  <si>
    <t xml:space="preserve">39520000-3 Готові текстильні вироби (39522110-1 Брезентові вироби (брезент, ремінь брезентовий) </t>
  </si>
  <si>
    <t>39520000-3 Готові текстильні вироби (Ганчір’я бавовняне)</t>
  </si>
  <si>
    <t>39522110-1 Брезентові вироби</t>
  </si>
  <si>
    <t>39525800-6 Ганчірки для прибирання</t>
  </si>
  <si>
    <t xml:space="preserve">39530000-3 Готові текстильні вироби ( 39525800-6 Ганчірки для прибирання (губки поролонові, серветки з мікрофібри, ганчірки для підлоги, запаска на швабру) </t>
  </si>
  <si>
    <t>39540000-9 - Вироби різні з канату, мотузки, шпагату та сітки (39541130-6 - Шнури (шнури п/пр)</t>
  </si>
  <si>
    <t>39540000-9 Вироби різні з канату, мотузки, шпагату та сітки</t>
  </si>
  <si>
    <t>39540000-9 Вироби різні з канату, мотузки, шпагату та сітки (39541110-0 Мотузки (шнури п/пр)</t>
  </si>
  <si>
    <t>39541110-0 Мотузки</t>
  </si>
  <si>
    <t>39541110-0 Мотузки (шнури п/пр)</t>
  </si>
  <si>
    <t>396</t>
  </si>
  <si>
    <t>39710000-2 Електричні побутові прилади</t>
  </si>
  <si>
    <t>39710000-2 Електричні побутові прилади (39716000-4 – Частини побутових електричних приладів (Блок ТЕН)</t>
  </si>
  <si>
    <t>39710000-2 Електричні побутові прилади (Електроконвектор)</t>
  </si>
  <si>
    <t>398</t>
  </si>
  <si>
    <t>39803574</t>
  </si>
  <si>
    <t>39810000-3 Ароматизатори та воски (39812500-2 Герметики (Герметики)</t>
  </si>
  <si>
    <t>39812500-2 Герметики</t>
  </si>
  <si>
    <t>39812500-2 Герметики (Герметики)</t>
  </si>
  <si>
    <t>39816321</t>
  </si>
  <si>
    <t>39828934</t>
  </si>
  <si>
    <t>39830000-9 Продукція для чищення</t>
  </si>
  <si>
    <t>39830000-9 Продукція для чищення (39831000-6 Засоби для прання і миття (миючий засіб для посуду 500 мл., порошок для чистки 500г., паста «Авто-майстер» 550г., засіб для чищення 1000 мл., засіб для скла з розпилювачем 500 мл., пральний порошок 400 г., білизна 900 мл.)</t>
  </si>
  <si>
    <t>39830000-9 Продукція для чищення (миючий засіб для посуду, білизна, чистячий засіб для посуду, миючий засіб для підлоги, миючий засіб для унітазу, миючий засіб для скла, порошок пральний, паста "Авто майстер")</t>
  </si>
  <si>
    <t>39830000-9 Продукція для чищення (миючий засіб для посуду, білизна, чистячий засіб для посуду, миючий засіб для підлоги, миючий засіб для унітазу, миючий засіб для скла, порошок пральний, паста «Авто майстер»)</t>
  </si>
  <si>
    <t>39831000-6 Засоби для прання і миття</t>
  </si>
  <si>
    <t>4</t>
  </si>
  <si>
    <t>400</t>
  </si>
  <si>
    <t>401</t>
  </si>
  <si>
    <t>402</t>
  </si>
  <si>
    <t>403</t>
  </si>
  <si>
    <t>40433772</t>
  </si>
  <si>
    <t>406</t>
  </si>
  <si>
    <t>407</t>
  </si>
  <si>
    <t>408</t>
  </si>
  <si>
    <t>40968610</t>
  </si>
  <si>
    <t>410</t>
  </si>
  <si>
    <t>411</t>
  </si>
  <si>
    <t>41106016</t>
  </si>
  <si>
    <t>41323428</t>
  </si>
  <si>
    <t>41453480</t>
  </si>
  <si>
    <t>41544499</t>
  </si>
  <si>
    <t>41753486</t>
  </si>
  <si>
    <t>41760190</t>
  </si>
  <si>
    <t>420</t>
  </si>
  <si>
    <t>42017205</t>
  </si>
  <si>
    <t>42029199</t>
  </si>
  <si>
    <t>42120000-6 Насоси та компресори (42124000-4 Частини насосів, компресорів, двигунів або моторів (Колінвали, комплекти поршневих кілець, шатуни бокові, плити клапана в комплекті, фільтроелементи, комплекти прокладок, повітропроводи, поршні, циліндри, комплекти клапанних пластин, фільтри повітряні, масляні фільтри, сепаратори)</t>
  </si>
  <si>
    <t>42120000-6 Насоси та компресори (42124000-4 Частини насосів, компресорів, двигунів або моторів (колінвали, комплекти поршнів кільцевих, плита клапана, фільтроелемент, комплекти прокладок, повітропровід, поршні, циліндри, шатун боковий, пластини клапана, фільтр повітряний, масляний фільтр, сепаратор, поршневі головки)</t>
  </si>
  <si>
    <t>42124000-4 Частини насосів, компресорів, двигунів або моторів</t>
  </si>
  <si>
    <t>42160000-8 Котельні установки</t>
  </si>
  <si>
    <t>42160000-8 Котельні установки (42161000-5 — Водонагрівальні бойлери (бойлери Gorenje GBF 150)</t>
  </si>
  <si>
    <t xml:space="preserve">42160000-8 Котельні установки (42161000-5 — Водонагрівальні бойлери (бойлери Goreuje GBF 150, бойлер 50л. сухий тен 2,0 кВт, бойлер GBF 100T/V9) </t>
  </si>
  <si>
    <t>423</t>
  </si>
  <si>
    <t>42353322</t>
  </si>
  <si>
    <t>42368695</t>
  </si>
  <si>
    <t>424</t>
  </si>
  <si>
    <t>42410000-3 Підіймально-транспортувальне обладнання (42413500-9 Автомобільні підіймачі (підйомник автомобільний 2-х стійковий 4т 220В TLT-240SC-220 LAUNCH або еквівалент)</t>
  </si>
  <si>
    <t>42410378</t>
  </si>
  <si>
    <t>42413500-9 Автомобільні підіймачі</t>
  </si>
  <si>
    <t>42420000-6 Ковші, лопати, грейдери та затискачі для підіймальних кранів чи екскаваторів</t>
  </si>
  <si>
    <t xml:space="preserve">42420000-6 Ковші, лопати, грейдери та затискачі для підіймальних кранів чи екскаваторів </t>
  </si>
  <si>
    <t>425</t>
  </si>
  <si>
    <t>42510000-4 Теплообмінники, кондиціонери повітря, холодильне обладнання та фільтрувальні пристрої (42512000-8 Установки для кондиціювання повітря (кондиціонер ES 421XW-EC, кондиціонер ES50-EC)</t>
  </si>
  <si>
    <t>42512000-8 Установки для кондиціювання повітря</t>
  </si>
  <si>
    <t>426</t>
  </si>
  <si>
    <t xml:space="preserve">42630000-1 Металообробні верстати (42633000-2 Машини згинальні, фальцювальні, рихтувальні чи правильні (потужний трубогиб і профілегиб STILER RBM 40, стрічкопильний верстат по металу STILER BS 260G з тензометром) </t>
  </si>
  <si>
    <t>42633000-2 Машини згинальні, фальцювальні, рихтувальні чи правильні</t>
  </si>
  <si>
    <t>42650000-7 Ручні інструменти пневматичні чи моторизовані</t>
  </si>
  <si>
    <t>42650000-7 Ручні інструменти пневматичні чи моторизовані (42651000-4 Пневматичні ручні інструменти (пневмопістолет до силікону 500-600 мл. AirPro)</t>
  </si>
  <si>
    <t>42660000-0 Інструменти для паяння м’яким і твердим припоєм та для зварювання, машини та устаткування для поверхневої термообробки і гарячого напилювання</t>
  </si>
  <si>
    <t>42660000-0 Інструменти для паяння м’яким і твердим припоєм та для зварювання, машини та устаткування для поверхневої термообробки і гарячого напилювання (дроти зварювальні, електроди)</t>
  </si>
  <si>
    <t>42670000-3 Частини та приладдя до верстатів</t>
  </si>
  <si>
    <t>42670000-3 Частини та приладдя до верстатів (мітчики, центр верстатний, патрон, розвертка ручна регульована, різці, проволка пломбірувальна, свердла, плашки)</t>
  </si>
  <si>
    <t>427</t>
  </si>
  <si>
    <t>428</t>
  </si>
  <si>
    <t>42804379</t>
  </si>
  <si>
    <t>42858597</t>
  </si>
  <si>
    <t>429</t>
  </si>
  <si>
    <t>42908024</t>
  </si>
  <si>
    <t>42910000-8 Апарати для дистилювання, фільтрування чи ректифікації</t>
  </si>
  <si>
    <t>42910000-8 Апарати для дистилювання, фільтрування чи ректифікації (42912350-0 - Обладнання для фільтрувальних установок (Зворотноосматичні мембранні модулі Filmtec XLE-440 (підмінні мембрани)</t>
  </si>
  <si>
    <t xml:space="preserve">42910000-8 Апарати для дистилювання, фільтрування чи ректифікації (картриджі зі спіненого поліпропілену Ecosoft 4,5*20)  </t>
  </si>
  <si>
    <t>42912350-0 Обладнання для фільтрувальних установок</t>
  </si>
  <si>
    <t>42940529</t>
  </si>
  <si>
    <t>43</t>
  </si>
  <si>
    <t>43175626</t>
  </si>
  <si>
    <t>43291346</t>
  </si>
  <si>
    <t>433</t>
  </si>
  <si>
    <t>43442549</t>
  </si>
  <si>
    <t>435</t>
  </si>
  <si>
    <t>43699122</t>
  </si>
  <si>
    <t>43712939</t>
  </si>
  <si>
    <t>43714559</t>
  </si>
  <si>
    <t>43830000-0 Електричні інструменти</t>
  </si>
  <si>
    <t>43830000-0 Електричні інструменти (Дриль безударний, кутова шліфмашина, лобзик)</t>
  </si>
  <si>
    <t>43830000-0 Електричні інструменти (Дриль безударний, кутова шліфмашина, лобзик, термоповітродувка, верстат заточний)</t>
  </si>
  <si>
    <t>43830000-0 Електричні інструменти (Дриль безударний, кутова шліфмашина,лобзик,термоповітродувка,верстат заточний)</t>
  </si>
  <si>
    <t>43830000-0 Електричні інструменти (термоповітродувка)</t>
  </si>
  <si>
    <t>439</t>
  </si>
  <si>
    <t>43977041</t>
  </si>
  <si>
    <t>44</t>
  </si>
  <si>
    <t>44/81</t>
  </si>
  <si>
    <t>44110000-4 Конструкційні матеріали</t>
  </si>
  <si>
    <t xml:space="preserve">44110000-4 Конструкційні матеріали (44111200-3 Цемент (цемент)
</t>
  </si>
  <si>
    <t xml:space="preserve">44110000-4 Конструкційні матеріали (44112230-9 Лінолеум) </t>
  </si>
  <si>
    <t xml:space="preserve">44110000-4 Конструкційні матеріали (44113620-7 – Асфальт (суміш асфальтобетонна гаряча дрібнозерниста тип – Б, м – 2)  </t>
  </si>
  <si>
    <t>44111200-3 Цемент</t>
  </si>
  <si>
    <t>44111200-3 Цемент (цемент)</t>
  </si>
  <si>
    <t>44160000-9 Магістралі, трубопроводи, труби, обсадні труби, тюбінги та супутні вироби</t>
  </si>
  <si>
    <t xml:space="preserve">44160000-9 Магістралі, трубопроводи, труби, обсадні труби, тюбінги та супутні вироби (44164310-3 Трубки та арматура (трубки, гайки накидні під трубку, втулки, кільця, з'єднання, фітинги, трійники під трубку, хомути рукавні) </t>
  </si>
  <si>
    <t>44160000-9 Магістралі, трубопроводи, труби, обсадні труби, тюбінги та супутні вироби (44165300-7 Рукави (рукава високого тиску (44167000-8 Трубна арматура різна (фітинги, втулки, штуцери, адаптери)</t>
  </si>
  <si>
    <t>44170000-2 Плити, листи, стрічки та фольга, пов’язані з конструкційними матеріалами (44171000-9 Плити (будівельні) газобетонний блок 600*200*300)</t>
  </si>
  <si>
    <t>44170000-2 Плити, листи, стрічки та фольга, пов’язані з конструкційними матеріалами (44173000-3 Стрічки (Стрічка малярна)</t>
  </si>
  <si>
    <t>44170000-2 Плити, листи, стрічки та фольга, пов’язані з конструкційними матеріалами (44176000-4 Плівки (Плівка п/е 200мк (50м) рукав 3м)</t>
  </si>
  <si>
    <t>44171000-9 Плити (будівельні)</t>
  </si>
  <si>
    <t>44171000-9 Плити (будівельні) газобетонний блок 600*200*300)</t>
  </si>
  <si>
    <t>44173000-3 Стрічки</t>
  </si>
  <si>
    <t>44173000-3 Стрічки (Стрічка малярна)</t>
  </si>
  <si>
    <t>44176000-4 Плівки</t>
  </si>
  <si>
    <t>44176000-4 Плівки (Плівка п/е 200мк (50м) рукав 3м)</t>
  </si>
  <si>
    <t>44190000-8 Конструкційні матеріали різні</t>
  </si>
  <si>
    <t>44190000-8 Конструкційні матеріали різні (44191100-6 Фанера (Фанера 21 мм)</t>
  </si>
  <si>
    <t>44190000-8 Конструкційні матеріали різні (44192000-2 Інші різні конструкційні матеріали (алюмінієва композитна панель)</t>
  </si>
  <si>
    <t>442</t>
  </si>
  <si>
    <t>44210000-5 Конструкції та їх частини</t>
  </si>
  <si>
    <t>44210000-5 Конструкції та їх частини (Опори СК 120-17)</t>
  </si>
  <si>
    <t>44220000-8 - Столярні вироби (44221100-6 - Вікна (вікна ПВХ)</t>
  </si>
  <si>
    <t>44221100-6 Вікна</t>
  </si>
  <si>
    <t>44310000-6 Вироби з дроту</t>
  </si>
  <si>
    <t>44310000-6 Вироби з дроту (Емаль-проводи ПЕТД, проводи ПСДКТ-Л)</t>
  </si>
  <si>
    <t xml:space="preserve">44310000-6 Вироби з дроту (провід ПСДКТЛ 1,6*4,7) </t>
  </si>
  <si>
    <t>44310000-6 Вироби з дроту (провід мідний для контактної мережі МФ-85)</t>
  </si>
  <si>
    <t>44320000-9 Кабелі та супутня продукція</t>
  </si>
  <si>
    <t>44320000-9 Кабелі та супутня продукція (кабелі, провода)</t>
  </si>
  <si>
    <t>44330000-2 Будівельні прути, стрижні, дроти та профілі</t>
  </si>
  <si>
    <t>44330000-2 Будівельні прути, стрижні, дроти та профілі (44334000-0 Профілі (Алюмінієві полоси, кутники)</t>
  </si>
  <si>
    <t xml:space="preserve">44330000-2 Будівельні прути, стрижні, дроти та профілі (44334000-0 – Профілі (алюмінієві профілі) </t>
  </si>
  <si>
    <t>44330000-2 Будівельні прути, стрижні, дроти та профілі (алюмінієвий профіль з противоковзуючою вставкою 50мм*3м без покриття, алюмінієвий профіль оздоблений кутовий універсальний 20мм*2,7м)</t>
  </si>
  <si>
    <t>44330000-2 Будівельні прути, стрижні, дроти та профілі (алюмінієві профілі, кутники)</t>
  </si>
  <si>
    <t>44334000-0 Профілі</t>
  </si>
  <si>
    <t>44334000-0 Профілі (Алюмінієві полоси, кутники)</t>
  </si>
  <si>
    <t>44440000-6 Вальниці</t>
  </si>
  <si>
    <t>44440000-6 Вальниці (підшипники)</t>
  </si>
  <si>
    <t>44443826</t>
  </si>
  <si>
    <t>44480000-8 Протипожежне обладнання різне</t>
  </si>
  <si>
    <t>44480000-8 Протипожежне обладнання різне (кріплення для вогнегасників ВП-2 та ВП-3)</t>
  </si>
  <si>
    <t>44480000-8 Протипожежне обладнання різне (кріплення до вогнегасників ВП-2)</t>
  </si>
  <si>
    <t>44510000-8 Знаряддя</t>
  </si>
  <si>
    <t>44510000-8 Знаряддя (44512000-2 Ручні інструменти різні (щипці, рівні, секатори, плоскогубці, бокорізи, круглогубці, киянки, молотки, набори, заклепочник, ключи, голівки торцеві, зубила, сокири, тріскачка)</t>
  </si>
  <si>
    <t>44510000-8 Знаряддя (Лопати)</t>
  </si>
  <si>
    <t>44512000-2 Ручні інструменти різні</t>
  </si>
  <si>
    <t>44512000-2 Ручні інструменти різні (щипці, рівні, секатори, плоскогубці, бокорізи, круглогубці, киянки, молотки, набори, заклепочник, ключи, голівки торцеві, зубила, сокири, тріскачка)</t>
  </si>
  <si>
    <t>44525374</t>
  </si>
  <si>
    <t>44530000-4 Кріпильні деталі</t>
  </si>
  <si>
    <t>44530000-4 Кріпильні деталі (саморізи, болти, гайки, шайби, гравери, шплінти, заклепки витяжні, стяжки, цвяхи, дюбелі, шурупи)</t>
  </si>
  <si>
    <t>44550000-0 Пружини</t>
  </si>
  <si>
    <t>44550000-0 Пружини (пружини)</t>
  </si>
  <si>
    <t>44550000-0 Пружини(пружини)</t>
  </si>
  <si>
    <t>446</t>
  </si>
  <si>
    <t>44618306</t>
  </si>
  <si>
    <t>44631154</t>
  </si>
  <si>
    <t>447</t>
  </si>
  <si>
    <t>44725954</t>
  </si>
  <si>
    <t>44738392</t>
  </si>
  <si>
    <t>44747255</t>
  </si>
  <si>
    <t>448</t>
  </si>
  <si>
    <t>44810000-1 Фарби</t>
  </si>
  <si>
    <t>44810000-1 Фарби (Фарби автомобільні, ґрунт)</t>
  </si>
  <si>
    <t>44810000-1 Фарби (емаль алкідна, ґрунтовка, фарби акрилові)</t>
  </si>
  <si>
    <t>44810000-1 Фарби(44812100-6 Емалі та глазурі (Фарби, ґрунт)</t>
  </si>
  <si>
    <t>44812100-6 Емалі та глазурі</t>
  </si>
  <si>
    <t>44812100-6 Емалі та глазурі (Фарби, ґрунт)</t>
  </si>
  <si>
    <t>44830000-7 Мастики, шпаклівки, замазки та розчинники</t>
  </si>
  <si>
    <t>44830000-7 Мастики, шпаклівки, замазки та розчинники (розчинники)</t>
  </si>
  <si>
    <t>44830000-7 Мастики, шпаклівки, замазки та розчинники (шпаклівка CS System “UNI”, бежева (1,8 кг), шпаклівка CS System “GLASS”, зелена (1,8 кг)</t>
  </si>
  <si>
    <t>449</t>
  </si>
  <si>
    <t>450</t>
  </si>
  <si>
    <t>451</t>
  </si>
  <si>
    <t>452</t>
  </si>
  <si>
    <t>45250000-4 Будівництво заводів / установок, гірничодобувних і переробних об’єктів та об’єктів нафтогазової інфраструктури (45259200-9 Ремонт і технічне обслуговування водоочисних станцій) (ремонт і технічне обслуговування водоочисних станцій)</t>
  </si>
  <si>
    <t>45259200-9 Ремонт і технічне обслуговування водоочисних станцій</t>
  </si>
  <si>
    <t>45259200-9 Ремонт і технічне обслуговування водоочисних станцій (ремонт і технічне обслуговування водоочисних станцій)</t>
  </si>
  <si>
    <t>453</t>
  </si>
  <si>
    <t>455</t>
  </si>
  <si>
    <t>458</t>
  </si>
  <si>
    <t>463</t>
  </si>
  <si>
    <t>464</t>
  </si>
  <si>
    <t>465</t>
  </si>
  <si>
    <t>467</t>
  </si>
  <si>
    <t>468</t>
  </si>
  <si>
    <t>471</t>
  </si>
  <si>
    <t>472</t>
  </si>
  <si>
    <t>473</t>
  </si>
  <si>
    <t>474</t>
  </si>
  <si>
    <t>475</t>
  </si>
  <si>
    <t>477</t>
  </si>
  <si>
    <t>478</t>
  </si>
  <si>
    <t>479</t>
  </si>
  <si>
    <t>481</t>
  </si>
  <si>
    <t>482</t>
  </si>
  <si>
    <t>483</t>
  </si>
  <si>
    <t>48310000-4 Пакети програмного забезпечення для створення документів</t>
  </si>
  <si>
    <t>48310000-4 Пакети програмного забезпечення для створення документів (Послуги онлайн-сервісу програмного забезпечення «Система електронного документообігу АСКОД»)</t>
  </si>
  <si>
    <t>484</t>
  </si>
  <si>
    <t>485</t>
  </si>
  <si>
    <t>486</t>
  </si>
  <si>
    <t>487</t>
  </si>
  <si>
    <t>48810000-9 Інформаційні системи (48813200-2 Системи інформування пасажирів у режимі реального часу (інформаційна транспортна система)</t>
  </si>
  <si>
    <t>48813200-2 Системи інформування пасажирів у режимі реального часу</t>
  </si>
  <si>
    <t>48820000-2 Сервери</t>
  </si>
  <si>
    <t>48820000-2 Сервери (Сервер двопроцесорний TOWER Power Up #52 Xeon E5 2643 v3 x2/128 GB/SSD SAMSUNG 870 EVO 250GB 2.5” SATA/Samsung 970 Evo Plus 1TB M.2 PCle 3.0 x4 V-NAND MLC x2/Seagate IronWolf HDD 8TB 7200rpm 256MB ST8000VN004 3.5” SATAIII/Agestar AS-MC01 x2/lnt Video)</t>
  </si>
  <si>
    <t>490</t>
  </si>
  <si>
    <t>492</t>
  </si>
  <si>
    <t>493</t>
  </si>
  <si>
    <t>494</t>
  </si>
  <si>
    <t>496</t>
  </si>
  <si>
    <t>497</t>
  </si>
  <si>
    <t>5</t>
  </si>
  <si>
    <t>500</t>
  </si>
  <si>
    <t>501</t>
  </si>
  <si>
    <t>50110000-9 Послуги з ремонту і технічного обслуговування мототранспортних засобів і супутнього обладнання</t>
  </si>
  <si>
    <t xml:space="preserve">50110000-9 Послуги з ремонту і технічного обслуговування мототранспортних засобів і супутнього обладнання (Послуги з технічного обслуговування і ремонту техніки та окремих її складових частин) </t>
  </si>
  <si>
    <t>50310000-1 Технічне обслуговування і ремонт офісної техніки</t>
  </si>
  <si>
    <t>50310000-1 Технічне обслуговування і ремонт офісної техніки (Заміна фідерного валу)</t>
  </si>
  <si>
    <t>50310000-1 Технічне обслуговування і ремонт офісної техніки (Щомісячне технічне обслуговування та ремонт лічильників банкнот, лічильників монет)</t>
  </si>
  <si>
    <t>50310000-1 Технічне обслуговування і ремонт офісної техніки (заправка картриджів,відновлення картриджів, технічне обслуговування та ремонт струйних принтерів, технічне обслуговування та ремонт лазерних принтерів, технічне обслуговування та ремонт БФП А4, технічне обслуговування та ремонт БФП А3)</t>
  </si>
  <si>
    <t>50340000-0 Послуги з ремонту і технічного обслуговування аудіовізуального та оптичного обладнання</t>
  </si>
  <si>
    <t xml:space="preserve">50340000-0 Послуги з ремонту і технічного обслуговування аудіовізуального та оптичного обладнання (встановлення, монтаж, демонтаж та обслуговування систем відеоспостереження в швидкоспоруджувальних "Тимчасових укриттях" МАФ) </t>
  </si>
  <si>
    <t>504</t>
  </si>
  <si>
    <t>50410000-2 - Послуги з ремонту і технічного обслуговування вимірювальних, випробувальних і контрольних приладів (технічне обслуговування Алкотестера, пред’явлення до повірки)</t>
  </si>
  <si>
    <t>50410000-2 Послуги з ремонту і технічного обслуговування вимірювальних, випробувальних і контрольних приладів</t>
  </si>
  <si>
    <t>50410000-2 Послуги з ремонту і технічного обслуговування вимірювальних, випробувальних і контрольних приладів (Технічна перевірка правильності роботи засобу обліку(перевірка схеми вмикання)</t>
  </si>
  <si>
    <t>50410000-2 Послуги з ремонту і технічного обслуговування вимірювальних, випробувальних і контрольних приладів (заміна засобу обліку на рівні напруги 0,22 кВ за ініціативою замовника)</t>
  </si>
  <si>
    <t>50410000-2 Послуги з ремонту і технічного обслуговування вимірювальних, випробувальних і контрольних приладів (позачергова технічна перевірка правильності роботи засобу обліку)</t>
  </si>
  <si>
    <t xml:space="preserve">50410000-2 Послуги з ремонту і технічного обслуговування вимірювальних, випробувальних і контрольних приладів (позачергова технічна перевірка правильності роботи засоу обліку, встановлення 3-ф. лічильника електричної енергії, заміна 3-ф. лічильника електричної енергії) </t>
  </si>
  <si>
    <t xml:space="preserve">50410000-2 Послуги з ремонту і технічного обслуговування вимірюввльних, випробувальних і контрольних приладів (послуги з технічного огляду балонів) </t>
  </si>
  <si>
    <t>50413200-5 - Послуги з ремонту і технічного обслуговування протипожежного обладнання (послуги з обслуговування та перезарядки вогнегасників)</t>
  </si>
  <si>
    <t>505</t>
  </si>
  <si>
    <t>50530000-9 Послуги з ремонту і технічного обслуговування техніки</t>
  </si>
  <si>
    <t>50530000-9 Послуги з ремонту і технічного обслуговування техніки (50532300-6 Послуги з ремонту і технічного обслуговування генераторів (ремонт бензогенератора)</t>
  </si>
  <si>
    <t>50530000-9 Послуги з ремонту і технічного обслуговування техніки (ремонт стартера на дизель генератор ESTAR F175 SA (ID 7788557)</t>
  </si>
  <si>
    <t>50532300-6 Послуги з ремонту і технічного обслуговування генераторів</t>
  </si>
  <si>
    <t>50532300-6 Послуги з ремонту і технічного обслуговування генераторів (ремонт бензогенератора)</t>
  </si>
  <si>
    <t>506</t>
  </si>
  <si>
    <t>50730000-1 Послуги з ремонту і технічного обслуговування охолоджувальних установок</t>
  </si>
  <si>
    <t>50730000-1 Послуги з ремонту і технічного обслуговування охолоджувальних установок (технічне обслуговування кондиціонерів)</t>
  </si>
  <si>
    <t>508</t>
  </si>
  <si>
    <t>509</t>
  </si>
  <si>
    <t>51</t>
  </si>
  <si>
    <t>510</t>
  </si>
  <si>
    <t>511</t>
  </si>
  <si>
    <t>51110000-6 Послуги зі встановлення електричного обладнання</t>
  </si>
  <si>
    <t xml:space="preserve">51110000-6 Послуги зі встановлення електричного обладнання (заміна засобу обліку на рівні напруги 0,22 кВт за ініціативою Замовника) </t>
  </si>
  <si>
    <t>512</t>
  </si>
  <si>
    <t>513</t>
  </si>
  <si>
    <t>51510000-0 Послуги зі встановлення універсальних машин та обладнання (51514110-2 - Послуги зі встановлення машин та апаратури для фільтрування чи очищення води (встановлення станції дозування продуктивністю 0,1-6,0 л/год)</t>
  </si>
  <si>
    <t>51514110-2 Послуги зі встановлення машин та апаратури для фільтрування чи очищення води</t>
  </si>
  <si>
    <t>53/2023</t>
  </si>
  <si>
    <t>54</t>
  </si>
  <si>
    <t>55</t>
  </si>
  <si>
    <t>558</t>
  </si>
  <si>
    <t>559</t>
  </si>
  <si>
    <t>56</t>
  </si>
  <si>
    <t>563</t>
  </si>
  <si>
    <t>564/05-23</t>
  </si>
  <si>
    <t>565</t>
  </si>
  <si>
    <t>566</t>
  </si>
  <si>
    <t>571</t>
  </si>
  <si>
    <t>572</t>
  </si>
  <si>
    <t>574</t>
  </si>
  <si>
    <t>575</t>
  </si>
  <si>
    <t>576</t>
  </si>
  <si>
    <t>577</t>
  </si>
  <si>
    <t>578</t>
  </si>
  <si>
    <t>58</t>
  </si>
  <si>
    <t>581</t>
  </si>
  <si>
    <t>582</t>
  </si>
  <si>
    <t>585</t>
  </si>
  <si>
    <t>586</t>
  </si>
  <si>
    <t>59</t>
  </si>
  <si>
    <t>596</t>
  </si>
  <si>
    <t>6</t>
  </si>
  <si>
    <t>60</t>
  </si>
  <si>
    <t>60160000-7 - Перевезення пошти автомобільним транспортом (Автоперевезення вантажу автомобілем IVECO за маршрутом м. Львів – м. Миколаїв)</t>
  </si>
  <si>
    <t>60160000-7 Перевезення пошти автомобільним транспортом</t>
  </si>
  <si>
    <t>61</t>
  </si>
  <si>
    <t>62</t>
  </si>
  <si>
    <t>63710000-9 Послуги з обслуговування наземних видів транспорту</t>
  </si>
  <si>
    <t>63710000-9 Послуги з обслуговування наземних видів транспорту (Послуги зі встановлення скла на тролейбус Дніпро Т203)</t>
  </si>
  <si>
    <t>63710000-9 Послуги з обслуговування наземних видів транспорту( Послуги зі встановлення скла на тролейбус Дніпро Т203)</t>
  </si>
  <si>
    <t>64</t>
  </si>
  <si>
    <t>64210000-1 Послуги телефонного зв’язку та передачі даних</t>
  </si>
  <si>
    <t>64210000-1 Послуги телефонного зв’язку та передачі даних (Послуги мобільного зв’язку 113 абонентських номерів)</t>
  </si>
  <si>
    <t>64210000-1 Послуги телефонного зв’язку та передачі даних (Послуги мобільного зв’язку 7 абонентських номерів)</t>
  </si>
  <si>
    <t>64210000-1 Послуги телефонного зв’язку та передачі даних (Телекомунікаційні послуги бізнес-мережі)</t>
  </si>
  <si>
    <t>64220000-4 Телекомунікаційні послуги, крім послуг телефонного зв'язку і передачі даних (64228200-2 Послуги з транслювання радіопередач (послуги з розміщення рекламних матеріалів Замовника в ефірі Радіостанції)</t>
  </si>
  <si>
    <t>64220000-4 Телекомунікаційні послуги, крім послуг телефонного зв’язку і передачі даних</t>
  </si>
  <si>
    <t>65110000-7 - Розподіл води (Послуги з централізованого водопостачання (вул. Курортна, буд.9А, кв.2)</t>
  </si>
  <si>
    <t>65110000-7 - Розподіл води (Послуги з централізованого водопостачання)</t>
  </si>
  <si>
    <t>65110000-7 Розподіл води</t>
  </si>
  <si>
    <t>65120000-0 - Експлуатація водоочищувальних станцій (Послуги з хімічної регенерації мембранного елемента XLE-440, послуги з сервісно-профілактичного обслуговування системи очищення води, послуги з додаткового очищення фільтрів)</t>
  </si>
  <si>
    <t>65120000-0 Експлуатація водоочищувальних станцій</t>
  </si>
  <si>
    <t>65120000-0 Експлуатація водоочищувальних станцій (Технічне обслуговування системи очищення води, послуги з хімічної регенерації мембранного елемента XLE 440, поповнення системи антискалантом в т.ч. матеріали (Антискалант-диспергент Ecotec RO 2000, послуги з додаткового очищення фільтрів)</t>
  </si>
  <si>
    <t xml:space="preserve">65120000-0 Експлуатація водоочищувальних станцій (Технічне обслуговування установки з доочистки води, послуги з хімічної регенерації мембранного елемента XLE 440, виїзд майстар, дезинфекція накопичувального бака, дезинфекція установки з доочищення води, заміна картриджу зі спіненого пропілену Ecosoft 4,5"x20", поповненням антискалантом-диспергентом Ecotec RO 2000, поповнення гіпохлоридом натрію) </t>
  </si>
  <si>
    <t>65310000-9 Розподіл електричної енергії</t>
  </si>
  <si>
    <t>65310000-9 Розподіл електричної енергії (Розподіл електричної енергії)</t>
  </si>
  <si>
    <t>65320000-2 Експлуатація електричних установок</t>
  </si>
  <si>
    <t>65320000-2 – Експлуатація електричних установок (Послуги із забезпечення перетікань реактивної електричної енергії)</t>
  </si>
  <si>
    <t>66510000-8 Страхові послуги</t>
  </si>
  <si>
    <t>66510000-8 Страхові послуги (66514110-0 Послуги зі страхування трансопртних засобів (тролейбусів)</t>
  </si>
  <si>
    <t>66510000-8 Страхові послуги (66514110-0 Послуги зі страхування транспортних засобів (тролейбусів)</t>
  </si>
  <si>
    <t xml:space="preserve">66510000-8 Страхові послуги (66514110-0 Послуги із страхування транспортних засобів (тролейбусів) </t>
  </si>
  <si>
    <t>66514110-0 Послуги зі страхування транспортних засобів</t>
  </si>
  <si>
    <t>69</t>
  </si>
  <si>
    <t>693/23/м4</t>
  </si>
  <si>
    <t>70</t>
  </si>
  <si>
    <t>71</t>
  </si>
  <si>
    <t>71240000-2 Архітектурні, інженерні та планувальні послуги</t>
  </si>
  <si>
    <t xml:space="preserve">71240000-2 Архітектурні, інженерні та планувальні послуги (послуги по складанню двох паспортів на свердловини КП ММР «Миколаївелектротранс») </t>
  </si>
  <si>
    <t>71310000-4 Консультаційні послуги у галузях інженерії та будівництва (71319000-7 - Експертні послуги (Експертиза проекту будівництва: «Благоустрій трамвайного полотна та прилеглої до нього території після проведення поточного ремонту у двох напрямках»)</t>
  </si>
  <si>
    <t>71319000-7 Експертні послуги</t>
  </si>
  <si>
    <t>71520000-9 Послуги з нагляду за виконанням будівельних робіт</t>
  </si>
  <si>
    <t xml:space="preserve">71520000-9 Послуги з нагляду за виконанням будівельних робіт (Технічний нагляд за будівництвом об’єкту: «Поточний ремонт по заміні рейко-шпальної решітки на дільниці по вул. Потьомкінська від вул. Садова до вул. 3я Слобідська») </t>
  </si>
  <si>
    <t>71630000-3 Послуги з технічного огляду та випробовувань</t>
  </si>
  <si>
    <t>71630000-3 Послуги з технічного огляду та випробовувань (71632000-7 Послуги з технічних випробувань ( Випробування на стенді з сертифікатом, опресовка шпилек)</t>
  </si>
  <si>
    <t xml:space="preserve">71630000-3 Послуги з технічного огляду та випробувань (метрологічні послуги) </t>
  </si>
  <si>
    <t>71632000-7 Послуги з технічних випробувань ( Випробування на стенді з сертифікатом, опресовка шпилек)</t>
  </si>
  <si>
    <t>71730000-4 Послуги промислового контролю</t>
  </si>
  <si>
    <t xml:space="preserve">71730000-4 Послуги промислового контролю (послуги з атестації робочих місць за умовами праці для підтвердження права на пільги та компенсації за шкідливі та важкі умови праці)  </t>
  </si>
  <si>
    <t>71900000-7 Лабораторні послуги</t>
  </si>
  <si>
    <t>71900000-7 Лабораторні послуги (проведення лабораторних досліджень (випробувань) води питної)</t>
  </si>
  <si>
    <t>71900000-7 Лабораторні послуги (проведення лабораторних досліджень (випробувань) питної води)</t>
  </si>
  <si>
    <t>72220000-3 Консультаційні послуги з питань систем та з технічних питань</t>
  </si>
  <si>
    <t>72220000-3 Консультаційні послуги з питань систем та з технічних питань (послуги у сфері інформації: інформаційно-консультативні послуги з супроводження ПЗ "M.E.Doc-Звітність", ПЗ "M.E.Doc-облік ПДВ", полсуги з налаштування поштового з'єднання, послуги з системного супроводу Програми відповідно до обраного Замовнком пакету)</t>
  </si>
  <si>
    <t>72260000-5 - Послуги, пов’язані з програмним забезпеченням (Право на використання КП АРМ «Автошкола»)</t>
  </si>
  <si>
    <t>72260000-5 Послуги, пов’язані з програмним забезпеченням</t>
  </si>
  <si>
    <t>72310000-1 Послуги з обробки даних</t>
  </si>
  <si>
    <t>72310000-1 Послуги з обробки даних (Обробка даних та формування кваліфікованого сертифікату відкритого ключа, постачання КП «Програмний комплекс «Варта» з правом використання до закінчення терміну дії кваліфікованого сертифікату електронного підпису)</t>
  </si>
  <si>
    <t>72320000-4 Послуги, пов’язані з базами даних</t>
  </si>
  <si>
    <t>72320000-4 Послуги, пов’язані з базами даних (послуги з підтримання доступу до ЄДЕБО)</t>
  </si>
  <si>
    <t>73110000-6 Дослідницькі послуги</t>
  </si>
  <si>
    <t>73110000-6 Дослідницькі послуги (73111000-3 Послуги дослідних лабораторій (випробування дослідного зразка капітально відремонтованого та переобладнаного трамвайного вагона типу КТМ)</t>
  </si>
  <si>
    <t>74</t>
  </si>
  <si>
    <t>75</t>
  </si>
  <si>
    <t>76</t>
  </si>
  <si>
    <t>77</t>
  </si>
  <si>
    <t>78</t>
  </si>
  <si>
    <t>78/23 м</t>
  </si>
  <si>
    <t>789/23/му</t>
  </si>
  <si>
    <t>79</t>
  </si>
  <si>
    <t>79110000-8 Послуги з юридичного консультування та юридичного представництва</t>
  </si>
  <si>
    <t>79110000-8 Послуги з юридичного консультування та юридичного представництва (адвокатські послуги)</t>
  </si>
  <si>
    <t>79210000-9 Бухгалтерські та аудиторські послуги (79212000-3 - Аудиторські послуги (Послуги пов’язані з аудитом фінансової звітності, складеної відповідно до МСФЗ у форматі для подання до статистичних та контролюючих органів України; аудит фінансової звітності, складеної у форматі для Європейського банку реконструкції та розвитку разом зі звітом незалежного аудитора щодо неї, за роки що завершились 31 грудня 2021 року та 31 грудня 2022 року, складеним відповідно до Міжнародних стандартів аудиту)</t>
  </si>
  <si>
    <t>79212000-3 Аудиторські послуги</t>
  </si>
  <si>
    <t>79310000-0 Послуги з проведення ринкових досліджень</t>
  </si>
  <si>
    <t>79310000-0: Послуги з проведення ринкових досліджень (судова економічна експертиза по адміністративній справі № 400/6470/23)</t>
  </si>
  <si>
    <t>79410000-1 Консультаційні послуги з питань підприємницької діяльності та управління</t>
  </si>
  <si>
    <t xml:space="preserve">79410000-1 Консультаційні послуги з питань підприємницької діяльності та управління (послуги з оцінки майна: автотранспортні засоби) </t>
  </si>
  <si>
    <t>79530000-8 Послуги з письмового перекладу</t>
  </si>
  <si>
    <t xml:space="preserve">79530000-8 Послуги перекладу (послуги письмового перекладу з української мови на білоруську) </t>
  </si>
  <si>
    <t xml:space="preserve">79620000-6 - Послуги із забезпечення персоналом, у тому числі тимчасовим (Послуги з розміщення та просування вакансій Замовника та інші супутні послуги на сайті Виконавця Work.ua) </t>
  </si>
  <si>
    <t>79620000-6 Послуги із забезпечення персоналом, у тому числі тимчасовим</t>
  </si>
  <si>
    <t>79820000-8 - Послуги, пов’язані з друком (послуги з друку наклейок на тролейбуси "Символіка міста Миколаєва")</t>
  </si>
  <si>
    <t>79820000-8 Послуги, пов’язані з друком</t>
  </si>
  <si>
    <t>79930000-2 Професійні дизайнерські послуги</t>
  </si>
  <si>
    <t>79930000-2 Професійні дизайнерські послуги (79933000-3 - Додаткові дизайнерські послуги (послуги з розробки дизайн-проекту інформаційних наліпок)</t>
  </si>
  <si>
    <t>79990000-0 Різні послуги, пов’язані з діловою сферою</t>
  </si>
  <si>
    <t>79990000-0 Різні послуги, пов’язані з діловою сферою (Послуги з оформлення документів про освіту)</t>
  </si>
  <si>
    <t>79990000-0 Різні послуги, пов’язані з діловою сферою (послуги з оформлення документів про освіту)</t>
  </si>
  <si>
    <t>8/389</t>
  </si>
  <si>
    <t>80420000-4 Послуги у сфері електронної освіти</t>
  </si>
  <si>
    <t>80420000-4 Послуги у сфері електронної освіти (Семінар для медичних працівників)</t>
  </si>
  <si>
    <t xml:space="preserve">80510000-2 - Послуги з професійної підготовки спеціалістів (80511000-9 – Послуги з навчання персоналу (Послуги з проведення одноденного онлайн-навчання, що проводиться в якості спеціальної короткострокової програми підвищення кваліфікації на тему: "Поводження з відходами на підприємстві") </t>
  </si>
  <si>
    <t>80510000-2 Послуги з професійної підготовки спеціалістів</t>
  </si>
  <si>
    <t>80510000-2 Послуги з професійної підготовки спеціалістів (курси «Військовий облік на підприємствах, в установах та організаціях, державних органах та органах місцевого самоврядування»)</t>
  </si>
  <si>
    <t>80511000-9 Послуги з навчання персоналу</t>
  </si>
  <si>
    <t>80530000-8 Послуги у сфері професійної підготовки (80531000-5 Послгуи у сфері професійної підготовки фахівців у галузі промисловості та техніки (підвищення кваліфікації за професією тракторист-машиніст сільськогосподарського виробництва (категорія А2)</t>
  </si>
  <si>
    <t>80531000-5 Послуги у сфері професійної підготовки фахівців у галузі промисловості та техніки</t>
  </si>
  <si>
    <t>811/23/НУ</t>
  </si>
  <si>
    <t>82</t>
  </si>
  <si>
    <t>823/23/МУ</t>
  </si>
  <si>
    <t>83</t>
  </si>
  <si>
    <t>85</t>
  </si>
  <si>
    <t>85140000-2 Послуги у сфері охорони здоров’я різні</t>
  </si>
  <si>
    <t>85140000-2 Послуги у сфері охорони здоров’я різні (Послуги з проведення попередніх, періодичних та позачергових психіатричних оглядів, у т.ч. на предмет вживання психоактивних речовин, послуги з проведення періодичного медичного огляду щодо придатності до керування ТЗ водіїв, послуги з проведення періодичного медичного огляду працівників зі шкідливими умовами праці, послуги з проведення медичного огляду декретованої категорії населення)</t>
  </si>
  <si>
    <t>86</t>
  </si>
  <si>
    <t>88</t>
  </si>
  <si>
    <t>89</t>
  </si>
  <si>
    <t>892/23/НУ</t>
  </si>
  <si>
    <t>90</t>
  </si>
  <si>
    <t>90430000-0 - Послуги з відведення стічних вод (Послуги з централізованого водовідведення (вул. Курортна, буд.9А, кв.2)</t>
  </si>
  <si>
    <t>90430000-0 - Послуги з відведення стічних вод (Послуги з централізованого водовідведення)</t>
  </si>
  <si>
    <t>90430000-0 Послуги з відведення стічних вод</t>
  </si>
  <si>
    <t>90510000-5 Утилізація/видалення сміття та поводження зі сміттям</t>
  </si>
  <si>
    <t>90510000-5 Утилізація/видалення сміття та поводження зі сміттям (Послуги з вивезення твердих побутових відходів) у Інгульському районі м. Миколаєва</t>
  </si>
  <si>
    <t>90510000-5 Утилізація/видалення сміття та поводження зі сміттям (Послуги з вивезення твердих побутових відходів) у Заводському районі м. Миколаєва</t>
  </si>
  <si>
    <t xml:space="preserve">90510000-5 Утилізація/видалення сміття та поводження зі сміттям (Послуги з захоронення побутових відходів) </t>
  </si>
  <si>
    <t xml:space="preserve">90510000-5 Утилізація/видалення сміття та поводження із сміттям (90511200-4 Послуги із збирання побутових відходів (послуги з вивезення твердих побутових відходів)  </t>
  </si>
  <si>
    <t>90920000-2 Послуги із санітарно-гігієнічної обробки приміщень (90921000-9 Послуги з дезинфікування та витравлювання (послуги із санітарно-гігієнічної обробки приміщень)</t>
  </si>
  <si>
    <t>90921000-9 Послуги з дезінфікування та витравлювання</t>
  </si>
  <si>
    <t>91</t>
  </si>
  <si>
    <t>92220000-9 Телевізійні послуги</t>
  </si>
  <si>
    <t>92220000-9 Телевізійні послуги (послуги з виготовлення відеосюжетів в цифровому форматі в ефірі КП ТРК "МАРТ", послуги з виготовлення програми "ДІАЛОГ" в цифровому форматі в ефірі КП ТРК "МАРТ", послуги з виготовлення та телевізійного показу складного рекламного ролику в цифровому форматі в ефірі КП ТРК "МАРТ")</t>
  </si>
  <si>
    <t>9294100-0 Інформаційна та рекламна продукція (інформаційні банери)</t>
  </si>
  <si>
    <t>93</t>
  </si>
  <si>
    <t>94</t>
  </si>
  <si>
    <t>95</t>
  </si>
  <si>
    <t>98</t>
  </si>
  <si>
    <t>99</t>
  </si>
  <si>
    <t>Ajax Hub 2(8EU) UA black охоронна централь; Ajax CombiProtect white EU датчики руху та розбиття; Ajax DoorProtect black EU датчик відкриття; Ajax DoorProtect white EU датчик відкриття</t>
  </si>
  <si>
    <t>DS-2CD1323G0-IUF (2.8mm) (C) 2 MP Turret IP камера, DS-2CD2043G2-I (2.8mm) 4 Мп IP відеокамера з ІЧ підсвічуванням</t>
  </si>
  <si>
    <t>ID контракту</t>
  </si>
  <si>
    <t>report-feedback@zakupivli.pro</t>
  </si>
  <si>
    <t>ЄГОРОВА СВІТЛАНА МИХАЙЛІВНА</t>
  </si>
  <si>
    <t>ЄДРПОУ переможця</t>
  </si>
  <si>
    <t>ЄНТІНА АЛЛА ОЛЕГІВНА</t>
  </si>
  <si>
    <t>Ідентифікатор закупівлі</t>
  </si>
  <si>
    <t>А-20</t>
  </si>
  <si>
    <t>АДВОКАТСЬКЕ БЮРО "ТЕТЯНА ГРИНЕНКО ТА ПАРТНЕРИ"</t>
  </si>
  <si>
    <t>АДС СЕРВІС</t>
  </si>
  <si>
    <t>АКЦІОНЕРНЕ ТОВАРИСТВО "МИКОЛАЇВОБЛЕНЕРГО"</t>
  </si>
  <si>
    <t>АКЦІОНЕРНЕ ТОВАРИСТВО "УКРТЕЛЕКОМ"</t>
  </si>
  <si>
    <t>АНІЧКІН ІГОР ВАЛЕРІЙОВИЧ</t>
  </si>
  <si>
    <t>Автоперевезення вантажу автомобілем IVECO за маршрутом м. Львів – м. Миколаїв</t>
  </si>
  <si>
    <t>Автоскло гартоване розсувне ліве 1700*1250 5мм. бронза, шовк №1; Автоскло гартоване розсувне ліве 1506*1250 5мм. бронза, шовк №2; Автоскло гартоване ліве 1506*1250 5мм. бронза, шовк №3; Автоскло гартоване ліве 1060*1250 5мм. бронза, шовк №4; Автоскло гартоване ліве 910*1250 5мм. бронза, шовк №5; Автоскло гартоване праве 1100*1250 5мм. бронза, шовк №6; Автоскло гартоване розсувне праве 1730*1250 5мм. бронза, шовк №7; Автоскло гартоване розсувне праве 1730*1250 5мм. бронза, шовк №8; Автоскло гартоване розсувне праве 1540*1250 5мм. бронза, шовк №9; Автоскло гартоване 618*1550 5мм. прозоре, шовк №10; Автоскло гартоване 618*1550 5мм. бронза, шовк №10; Автоскло гартоване розсувне водія ліве 1290*1330 5мм. прозоре, шовк №11; Автоскло гартоване заднє 2112*980 гнуте 5мм. бронза, шовк №12; Автоскло гартоване розсувне водія 1370*1330 5мм. прозоре, шовк №13</t>
  </si>
  <si>
    <t>Автоскло гартоване трамвайний вагон №2123 бокове салону 1390*1095, 4R-45, 5мм; Автоскло гартоване трамвайний вагон №2123 скло кабіни водія ліве 785*690*940, 5мм. шовк; Автоскло гартоване трамвайний вагон №2123 скло кабіни водія праве 785*690*940, 5мм. шовк; Автоскло гартоване трамвайний вагон №2123 скло заднє 1640*1145*1595, 5мм. шовк; Автоскло гартоване трамвайний вагон №2123 скло дверей праве 1090*1350*460, 5мм. шовк; Автоскло гартоване трамвайний вагон №2123 скло дверей кабіни водія 420*690, 5мм. шовк; Автоскло гартоване трамвайний вагон №2123 скло заднє бокове ліве 325*1130*525, 5мм. шовк; Автоскло гартоване трамвайний вагон №2123 скло заднє бокове праве 325*1130*525, 5мм. шовк; Автоскло гартоване трамвайний вагон №2123 розсувне ліве 660*400*749; Автоскло гартоване трамвайний вагон №2123 розсувне праве 660*400*749; Автоскло триплекс трамвайний вагон №2123 вітрове 1365*1150*1290 шовк; Автоскло гартоване 535*945*1630, 5мм. шовк; Автоскло гартоване 595*945*1630, 5мм. шовк</t>
  </si>
  <si>
    <t>Акумуляторні батареї LPM GL 12-120AH типу GEL</t>
  </si>
  <si>
    <t>Алкотестер АЛКОФОР IBLOW 10</t>
  </si>
  <si>
    <t>Алюм. кутник 20*20*1,5 мм. - анодований; Алюм. Т-профіль 40*20*2 мм. - без покриття ; Алюм. проф./одн. рифл. 25мм*2,7м анод. срібло</t>
  </si>
  <si>
    <t>Алюмінієвий L-профіль 20*7,5*1,5мм (внутр.розм. 4,5) анодований; Алюмінієвий профіль/одн. рифл.  25мм*2,7м анод. срібло</t>
  </si>
  <si>
    <t>Амортизатор 101-2905006; Пневмобалон (подушка) 1Е25-2 ; Пневмобалон 101-2924014; Стакан пневмобалону; Кришка пневмобалону; Пневмобалон РП2006; Пневмобалон РП2004; Шестерня відома і ведуча 103-2402060/2402017 (Z9 Z28); Педаль ходу ЛАЗ у зборі (4613186030); Регулятор положення кузову SV1470; Гальмівний барабан 6430-3501070 (передній); Гальмівний барабан 5440-3502070 (задній); Важіль регулювальний (трещітка) 103-3501136-10; Колодка гальмівна 5440-3502090 (права); Колодка гальмівна 5440-3502090 (ліва); Накінечник рульової тяги правий 6422-3003056; Накінечник рульової тяги правий 6422-3003057; Кутовий редуктор 101-3426010; Шланг гальмівний 101-3506060; Камера гальмівна 101-3519100; Камера гальмівна 101-3519101; Клапан обмеження тиску 475.010.011.0 WABCO; Камера гальмівна з накопичувачем 103-3500110; Вологомасловідділювач 103-3511110-10; Фланець 54326-2402061-050; Кільце ущільнююче цапфи 100-106-36-2-3; Кільце фторопластове цапфи 54321-3104085; Кільце 135-145-46-2-2; Кільце стопорне диференціалу 400452; Щит гальма 103-3502151; Кронштейн кріплення штанги реактивної 103-2919090; Муфта  6422-3533065; Муфта 54321-3533065; Кільце ущільнююче бортової передачі 250-260-58-2-2 ; Рульова колонка у зборі з кронштейном 64221-3403008; Штанга реактивна у зборі ліва 203065-2909016; Штанга реактивна у зборі права 203065-2909014; Тяга рульова поздовжня 203065-3003010; Клавішний вимикач панелі приборів ЛАЗ; Манжета 2.2120*150; Диск гальмівний Т3-М; Комплект гальмівних колодок дискових ЛАЗ; Диск гальмівний ЛАЗ</t>
  </si>
  <si>
    <t xml:space="preserve">Амортизатор ЛАЗ 103Т-2905006; Амортизатор МАЗ А1-352/500-2905006; Важіль (трещітка) задній МАЗ 103-3501136-10; Вимикач маси ДОН-1500; Втулка шкворня МАЗ 60мм (бронза); Втулка шкворня МАЗ 70мм (бронза); Втулка шковрня МАЗ розпірна сталева; Енергоакумулятор (Тип-20) Камаз 100-3519100; Енергоакумулятор (Тип-24) МАЗ 100-3519200; Клапан прискорювальний KNOR BREMS AC 574 AXY; Клапан прискорювальний Камаз 100-3518010; Клапан КЕМ 16-20; Накінечник рульової тяги правий 0501211835; Накінечник рульової тяги лівий 0501211834; Осушувач з регулятором тиску Rider; Регулятор положення кузова 0060.41.000; Регулятор положення кузова 11.2935010-10; Сайлентблок рульової тяги МАЗ 103-Т; Сайлентблок рульової тяги Шкода; Фільтр осушувача Wabco; Шкворінь МАЗ, Краз (конус) Н=290мм; Шкворінь Шкода; Шпилька (болт колісний) МАЗ 110мм 54321-3104050; Шпилька (болт колісний) МАЗ 85мм 54321-3104051; Шпилька (болт маточини) М22х1,5 (шліц) 3340-004; Шунт контактора SMD ; Колодка гальмівна Т7400  FF (3FN) аналог; Адсорбер LA6252-K000065 
Knor-Bremse аналог
; Блок-контакт до контактора SMD 
; Головний контакт до контактора SMD (срібна напайка)
; Головний контакт до автоматичного вимикача 2HA1
; Головний контакт до автоматичного вимикача VPD-10 та контатору SMD
; Втулка цапфи конічна полімерна
</t>
  </si>
  <si>
    <t>Б-1</t>
  </si>
  <si>
    <t>БІГУН ВОЛОДИМИР ВОЛОДИМИРОВИЧ</t>
  </si>
  <si>
    <t>БІЛАН ВІТАЛІЙ ВАСИЛЬОВИЧ</t>
  </si>
  <si>
    <t>БАНДУРА ОЛЬГА ОЛЕКСАНДРІВНА</t>
  </si>
  <si>
    <t>БОБРОВА МАРИНА ПЕТРІВНА</t>
  </si>
  <si>
    <t>Бензин А-92 (Євро 5), картка, 1л; Бензин А-95 (Євро 5), картка, 1л; Газ нафтовий скраплений, картка, 1л; Дизельне паливо (Євро 5), картка, 1л</t>
  </si>
  <si>
    <t>Бензин А-95 (Євро 5), талон, 1л; Газ нафтовий скраплений, талон, 1л; Дизельне паливо (Євро 5), талон, 1л</t>
  </si>
  <si>
    <t>Бензин А-95 (Євро 5), талон/смарт-карта; Газ нафтовий скраплений, талон/смарт-карта; Дизельне паливо (Євро 5), талон/смарт-карта</t>
  </si>
  <si>
    <t>Блок ТЕН 15 кВт 380В 100*100 ТИТАН</t>
  </si>
  <si>
    <t>ВЕРХНЯЦЬКИЙ ВІТАЛІЙ ВОЛОДИМИРОВИЧ</t>
  </si>
  <si>
    <t>ВКП Арсенал</t>
  </si>
  <si>
    <t>ВОЛОХОВА НАТАЛЯ ЮРІЇВНА</t>
  </si>
  <si>
    <t>Вогнегасники ВП-2(з)</t>
  </si>
  <si>
    <t>Вставка вугільна типу 2 УГ; Вставка вугільна армована типу 2 УГА; Вставка вугільна мідно-графітова типу 2 УГАМ</t>
  </si>
  <si>
    <t>Відкриті торги з особливостями</t>
  </si>
  <si>
    <t>Вісь колісної пари КТМ; Вісь колісної пари ТЗ; Бандаж трамвайного колеса вагону КТМ; Бандаж трамвайного колеса вагону ТЗ</t>
  </si>
  <si>
    <t>ГАЙДАБАС ІННА ІВАНІВНА</t>
  </si>
  <si>
    <t>ГОНЧАРУК ВІТАЛІЙ МИКОЛАЙОВИЧ</t>
  </si>
  <si>
    <t>Газ нафтовий скраплений, талон, 1л</t>
  </si>
  <si>
    <t>Газ нафтовий скраплений,талон/смарт-карта</t>
  </si>
  <si>
    <t>Газ скраплений нафтовий, талон/смарт-карта; Бензин А-95 (Євро 5), талон/смарт-карта; Дизельне паливо (Євро 5), талон/смарт-карта</t>
  </si>
  <si>
    <t>Газ скраплений нафтовий, талон; Бензин А-95 (Євро 5), талон; Дизельне паливо (Євро 5), талон</t>
  </si>
  <si>
    <t>Головка струмоприймача у зборі з ременями невідкидна ГТ14А; Ремкомплект невідкидної головки струмоприймача ГТ14А; П’ята головки струмоприймача ГТ14А; Вкладиш головки струмоприймача ГТ14А; Утримувач головки струмоприймача ГТ14А; Щічка головки струмоприймача ГТ14А латунна; Щічка головки струмоприймача ГТ14А алюмінієва; Токоз’ємна втулка головки струмоприймача; Транзисторний модуль APTGT600U170D4G; Мотор редуктор склоочисника 443125002016; Вентилятор W1G250-HH37-56 трамваю Т3М; Вентилятор W1G250-HH37-56 трамваю Т3М; Пряжка головки струмоприймача; Реле БОШ 0332209111; Котушка рельсового гальма Т3-М; Котушка допоміжного полюса двигуна ТЕ-022 ; Котушка головного полюсу ЕД-138; Котушка додаткового полюсу ЕД-138; Клемна коробка ТЕ-022; Плата обмежувального реле трамвая Tatra T-3 (ERPM4_S v2.0); Ремкомплект вимикача соленоїда Т3; Обігрівач салону ТЕРМО 3000 (ТВТ 3,0); Обігрівач салону ТЕРМО 4000 (ТВТ 4,0); Котушка рельсового гальма КТМ; Кільце ізоляційне  прискорювача Т3</t>
  </si>
  <si>
    <t>Гр-0055469</t>
  </si>
  <si>
    <t>Гр-0056911</t>
  </si>
  <si>
    <t>ДІАВЕСТЕНД КОМПЛЕКСНІ РІШЕННЯ</t>
  </si>
  <si>
    <t>ДЕГУСАР ЮРІЙ ОЛЕКСАНДРОВИЧ</t>
  </si>
  <si>
    <t>ДЕРЖАВНЕ ПІДПРИЄМСТВО "ІНФОРЕСУРС"</t>
  </si>
  <si>
    <t>ДЕРЖАВНЕ ПІДПРИЄМСТВО "МИКОЛАЇВСЬКИЙ НАУКОВО-ВИРОБНИЧИЙ ЦЕНТР СТАНДАРТИЗАЦІЇ, МЕТРОЛОГІЇ ТА СЕРТИФІКАЦІЇ"</t>
  </si>
  <si>
    <t>ДЕРЖАВНЕ ПІДПРИЄМСТВО ЗОВНІШНЬОЕКОНОМІЧНОЇ ДІЯЛЬНОСТІ "УКРІНТЕРЕНЕРГО"</t>
  </si>
  <si>
    <t>ДЕРЖАВНЕ ПІДПРИЄМСТВО УКРАЇНСЬКИЙ НАУКОВО-ДОСЛІДНИЙ ІНСТИТУТ МЕДИЦИНИ ТРАНСПОРТУ МІНІСТЕРСТВА ОХОРОНИ ЗДОРОВ"Я УКРАЇНИ</t>
  </si>
  <si>
    <t>ДК 021:2015 - 34990000-3 Регулювальне, запобіжне, сигнальне та освітлювальне обладнання (34992200-9 Дорожні знаки (Дорожні знаки світловідбиваючи)</t>
  </si>
  <si>
    <t>ДК 021:2015 44510000-8 Знаряддя (Лопати)</t>
  </si>
  <si>
    <t>ДК 021:2015: 72310000-1 Послуги з обробки даних (Послуги відстеження пасажиропотоку)</t>
  </si>
  <si>
    <t>ДК 021:2015:31440000-2: Акумуляторні батареї (Акумуляторні батареї LPM GL 12-120AH типу GEL)</t>
  </si>
  <si>
    <t>ДП "Пластмас" ТОВ "ТД Пластмас-Прилуки"</t>
  </si>
  <si>
    <t>Дата закінчення договору:</t>
  </si>
  <si>
    <t>Дата підписання договору:</t>
  </si>
  <si>
    <t>Дорожні знаки світловідбиваючі</t>
  </si>
  <si>
    <t>Дріт зварювальний обміднений СВ08Г2С ф.1,2 мм К200; Дріт зварювальний обміднений СВ08Г2С ф.1,0 мм К200; Дріт зварювальний обміднений СВ08Г2С ф.0,8 мм К200; Дріт зварювальний обміднений СВ08Г2С ф.2 мм К300; Електроди АНО-36 ф.3мм; Електроди УОНИ 13/55 ф.4мм; Електроди ЦЛ-11 ф.3мм; Електроди ЦНІІН-4 ф.4мм</t>
  </si>
  <si>
    <t>ЕЛЕКТРОЗБУТ-СЕРВІС</t>
  </si>
  <si>
    <t>ЕЛСІЕЛ-ТРАНС</t>
  </si>
  <si>
    <t>Експертиза проекту будівництва: «Благоустрій трамвайного полотна та прилеглої до нього території після проведення поточного ремонту у двох напрямках»</t>
  </si>
  <si>
    <t>Електродвигун АИР71А2 ІМ2081, 0,75кВт/3000 об./хв. Україна</t>
  </si>
  <si>
    <t>Електрокартон 0,3 мм; Стрічка кіперна 20,0 мм; Стрічка скляна ЛЭСБ 0,1х20 мм; Стрічка скляна ЛЭСБ 0,1х25 мм; Пруток поліамідний 20х1000 мм; Пруток поліамідний 40х1000 мм; Пруток поліамідний 50х1000 мм; Стрічка термостійка кабельна ЛОКТ-840  0,2х1000мм; Лак МЛ-92; Трубка ТЛВ тип 132 2,0 мм; Трубка ТЛВ тип 132 4,0 мм; Трубка ТЛВ тип 132 6,0 мм; Трубка ТЛВ тип 132 8,0 мм; Сінтофлекс 51 0,19 мм; Сінтофлекс 515 0,25 мм; Смола ЭД-20; Затверджувач ПЭПА; Склоплівкослюдопласт ГИП-ЛСП-Пл (в) 0,43 мм
; Стрічка ізоляційна ПВХ</t>
  </si>
  <si>
    <t>Електрощітка ЕГ 841 5,5*12*15; Електрощітка ЕГ 841 8*15*25; Електрощітка ЕГ 841 8*20*25; Електрощітка ЕГ 841 8*22*25; Електрощітка ЕГ 841 8,5*12*15; Електрощітка МГ 4 4*8*13; Електрощітка МГ 4 12,5*32*50; Електрощітка МГ 4 25*40*64/70; Електрощітка ЕГ 841 10*16*25; Електрощітка ЕГ 841 12,5*32*50; Електрощітка ЕГ 841 16*20*27; Електрощітка ЕГ 841 10*25*40; Електрощітка ЕГ 841 10*25*25; Електрощітка ЕГ 841 20*32*50; Електрощітка ЕГ 841 16*32*50; Електрощітка ЕГ 841 16*40*50; Електрощітка ЕГ 841 16*50*50; Електрощітка ЕГ 841 2*12,5*32*64; Електрощітка ЕГ 841 2*12,5*40*64; Електрощітка ЕГ 841 2*8*40*50; Електрощітка ЕГ 841 2*10*32*50; Електрощітка ЕГ 841 2*12,5*40*52; Електрощітка ЕГ 841 2*10*40*50; Електрощітка ЕГ 841 2*12,5*32*50; Електрощітка ЕГ 841 5*8*16; Електрощітка ЕГ 841 8*12,5*25; Електрощітка ЕГ 841 8*16*25; Електрощітка ЕГ 841 10*12,5*25; Щіткотримач ДК 259; Щіткотримач ТЕ022; Щіткотримач ТЕ023</t>
  </si>
  <si>
    <t>Емаль - провід ПЕТД-200 1,18; Емаль - провід ПЕТД-200 0,63; Емаль - провід ПЕТД-200 1,06; Емаль - провід ПЕТД-200 1,00; Емаль - провід ПЕТД-200 0,95; Емаль - провід ПЕТД-200 0,85; Емаль - провід ПЕТД-200 0,56; Емаль - провід ПЕТД-200 0,5; Емаль - провід ПЕТД-200 1,6; Емаль - провід ПЕТД-200 0,75; Емаль - провід ПЕТД-200 1,45; Емаль - провід ПЕТД-200 1,4; Емаль - провід ПЕТД-200 0,45; Провід ПСДКТ-Л 1,60*3,15; Провід ПСДКТ-Л 2,00; Провід ПСДКТ-Л 1,06</t>
  </si>
  <si>
    <t>Емаль алкідна біла (2,8 кг); Емаль алкідна світло-сіра (2,8 кг); Емаль алкідна сіра (2,8 кг); Емаль алкідна чорна (2,8 кг); Емаль адкідна зелена (2,8 кг); Емаль алкідна синя (2,8 кг); Емаль алкідна блакитна (2,8 кг); Емаль алкідна жовта (2,8 кг); Емаль алкідна бежева (2,8 кг); Емаль алкідна шоколадна (2,8 кг); Емаль алкідна червоно-коричнева (2,8 кг); Грунтовка ГФ-021 сіра (2,8 кг); Грунтовка глибоко проникна Ceresit CT-17 (10 л); Інтер'єрна акрилова фарба (для внутрішніх робіт) (14 кг); Фасадна акрилова фарба (14 кг)</t>
  </si>
  <si>
    <t>Жалюзі</t>
  </si>
  <si>
    <t>Закупівля без використання електронної системи</t>
  </si>
  <si>
    <t>Запит ціни пропозиції</t>
  </si>
  <si>
    <t>Зворотноосматичний мембранний модуль Filmtec XLE-440 (підмінна мембрана)</t>
  </si>
  <si>
    <t>Звіт створено 28 березня о 11:14 з використанням http://zakupivli.pro</t>
  </si>
  <si>
    <t>КАГАНОВСЬКИЙ РОСТИСЛАВ ВІТАЛІЙОВИЧ</t>
  </si>
  <si>
    <t>КВОРУМ-НАФТА</t>
  </si>
  <si>
    <t>КК29/2023</t>
  </si>
  <si>
    <t>КЛЕЩЕНКО ВАЛЕРІЙ ЄВГЕНОВИЧ</t>
  </si>
  <si>
    <t>КОВАЛЬОВ ОЛЕГ ВОЛОДИМИРОВИЧ</t>
  </si>
  <si>
    <t>КОЗАК РОСТИСЛАВ ОРЕСТОВИЧ</t>
  </si>
  <si>
    <t>КОМУНАЛЬНЕ ПІДПРИЄМСТВО "МИКОЛАЇВКОМУНТРАНС"</t>
  </si>
  <si>
    <t>КОМУНАЛЬНЕ ПІДПРИЄМСТВО ТЕЛЕРАДІОКОМПАНІЯ "МАРТ"</t>
  </si>
  <si>
    <t>КОМУНАЛЬНЕ СПЕЦІАЛІЗОВАНЕ МОНТАЖНО-ЕКСПЛУАТАЦІЙНЕ ПІДПРИЄМСТВО</t>
  </si>
  <si>
    <t>КОНУС-ВІДЕО</t>
  </si>
  <si>
    <t>КОРОЛЬОВ ОЛЕКСІЙ СЕРГІЙОВИЧ</t>
  </si>
  <si>
    <t>КОЧАРЯН ГАРІК ВІЛЕНОВИЧ</t>
  </si>
  <si>
    <t>КРОУ ЕРФОЛЬГ УКРАЇНА</t>
  </si>
  <si>
    <t>КУЩ ЮРІЙ ДАНИЛОВИЧ</t>
  </si>
  <si>
    <t>Кабель АСБ 6 3*150; Кабель АСБ 1 1*800; Кабель АВВГп 2х4; Кабель АВВГп 2х6; Провід ПВС 2х2,5; Провід ПВС 2х1,5; Провід ПВС 3х2,5; Провід ПВС 3х4; Провід ПВС 4х6; Провід ШВВП 3х2,5; Провід ПВ-3 1,5; Провід ПВ-3 2,5; Провід ПВ-3 4; Провід ПВ-3 10; Кабель КГ 1х6; Кабель КГ 1х10; Кабель КГ 1х35; Кабель КГ 1х25; Провід СИП-2*16; Провід СИП-2*25; Провід СИП-4*50; Провід СИП-4*70; Провід СИП-4*95; Кабель OLFLEX CLASSIC 115 CY 4G1; Кабель OLFLEX CLASSIC 115 CY 4G1,5; Провід уст. ППСРВМ 660В 6 мм.кв; Провід уст. ППСРВМ 660В 10 мм.кв; Провід уст. ППСРВМ 660В 25 мм.кв; Провід уст. ППСРВМ 660В 35 мм.кв; ІТК Кабель зв’язку вита пара U/UTP, кат 5е 4*2*24(0,51мм)AWG, LDPE трос 1,2мм., 305м.; Кабель зв’язку вита пара U/UTP 4 Pr Outdoor</t>
  </si>
  <si>
    <t>Камера FD9360-H</t>
  </si>
  <si>
    <t>Код CPV</t>
  </si>
  <si>
    <t>Колінвал LB30; Комплект поршневих кілець LB30, LB40; Плита клапана в комплекті LB30, LB40; Фільтроелемент LB30, LB40; Комплект прокладок LB30; Повітропровід LB30; Поршень ф65 LB30, LB40; Циліндр LB30, LB40; Шатун боковий LB50, LB75; Комплект поршневих кілець ф80 LB50; Пластина клапана велика LB50, LB75; Пластина клапана мала LB50, LB75; Поршень LB50, LB75; Циліндр LB50, LB75; Фільтр повітряний LB50, LB75; Комплект прокладок LB50; Плита клапана в комплекті LB50, LB75; Колінвал LB50; Фільтр повітряний SQ-502577; Повітропровід 80 LB50; Масляний фільтр 022680; Сепаратор NS001050; Поршнева головка LB30; Поршнева головка LB50</t>
  </si>
  <si>
    <t>Колінвал LB30; Комплект поршневих кілець LB30, LB40; Шатун боковий LB30, LB40; Плита клапана в комплекті LB30, LB40; Фільтроелемент LB30, LB40; Комплект прокладок LB30; Повітропровід D12*228 LB30; Поршень ф65 LB30, LB40; Циліндр LB30, LB40; Шатун боковий LB50, LB75; Комплект поршневих кілець ф80 LB50; Комплект клапанних пластин LB50, LB75; Поршень LB50, LB75; Циліндр LB50, LB75; Фільтр повітряний LB50, LB75; Комплект прокладок LB50; Плита клапана в комплекті LB50, LB75; Колінвал LB50; Фільтр повітряний SQ-502577; Повітропровід LB50; Масляний фільтр 022680; Сепаратор NS001050</t>
  </si>
  <si>
    <t>Компанець Ольга Миколаївна</t>
  </si>
  <si>
    <t>Конверти С5(0+0)СКЛ 80г/м2, білизна СІЕ 164, конверти С6(0+0)СКЛ 80г/м2,білість СІЕ164, конверти Е65(0+О)СКЛ 80г/м2,білість СІЕ164, пакети С4(0+0), СКЛ 90г/м2,білизна СІЕ 164, 4040</t>
  </si>
  <si>
    <t>Кондиціонер ES 421XW-EC для охолодження пасажирських салонів в рухомому складі громадського транспорту довжиною 10-12м., із статичним перетворювачем CDD/A.0-D-I/N-600-28/400-75/30; Кондиціонер ES 50-ЕС для охолодження кабіни водія рухомого складу громадського транспорту, із статичним  перетворювачем CDD.0-D-I-600-28-150-РСН</t>
  </si>
  <si>
    <t>Контактор CHINT NC2-400_400А_230V; Запобіжник RT36-1 250А gG; Тримач запобіжника BASE RT36-1 250A; Модульний автоматичний вимикач _50А_2п_NB1-63DC; Модульний автоматичний вимикач _16А_2п_NB1-63DC; Автоматичний вимикач ЕB2 400/3E 400A (50кА (0,4-1) In/обираєма) 3P(4671112); Вимикач автоматичний ВА21-29Т-121110-16А-61Н600DC; Вимикач автоматичний ВА21-29Т-121110-40А-61Н600DC; Вимикач автоматичний ВА21-29Т-121110-63А-61Н600DC; Індуктивний датчик BES M12MI-PSC40B-BV02; Запобіжник FG300А FG  maxi (mega) 300А; Головний лінійний контактор SL11A у зборі в корпусі 90372020; Грозорозрядник трамвайного вагону Т3 у зборі з основою GXS 1.3; Грозорозрядник трамвайного вагону Т3 у зборі з основою SBKB 1/10/G 1332.5-211400; Термоблок ТВТ 3,0; Термоблок ТВТ 4,0; Реле БОШ 0332209221; Контактор ТКС601ДОД; Пристрій комутаційний CА 14 -2/1; Пристрій комутаційний СА 14 -1/0; Пристрій комутаційний CА 14 -2/0; Перемикач VS16 0300201608; Перемикач VS16 03003020A8; Перемикач VS16 0400206204; Перемикач VS16 5201A8; Кулачковий елемент КЕ61; Кулачковий елемент КЕ42</t>
  </si>
  <si>
    <t xml:space="preserve">Контактор КПП-113 У2 2з+2р; Контактор КПП-114 У2 2з+2р; Контактор КТК-3-20 УХЛ2 1з+1р; Контактор КТК-1-10 УХЛ2 1з+1р; Контактор КПД-110Е УХЛ2 1з+1р; Ручка перемикача VS16; Комутуючі блоки T6Z111Z; Перемикач опалення салону 
VS16 5201 А8
; Перемикач ланцюгів управління 
VS16 08504062 А8
; Перемикач візків VS16 12 5 02 011 В4
; Перемикач пульта заднього 
VS16 07 5 07 006 С8
; Перемикач освітлення салону 
VS16 04 0 02 065 А8
; Перемикач склоочисника VS16 2351 S8
; Перемикач калорифера 
VS16 03-03-053 А8
; Перемикач стрілки VSI6 06503077
; Перемикач зовнішнього освітлення VS16 055040027 А8
; Перемикач реверса VS16 04002062 С4
; Перемикач АКБ VS-16 1104В8
; Блок-контакт контактора КПП 1-13
; Камера КТК 0-10 дугогасильна
; Котушка контактора КТК 0-10
; Контакт нерухомий КЕ-61
; Контакт рухомий КЕ-6 і
; Контактор КНЕ-220
; Контактор КТК 0-10 (КПД-110) без в/к
; Контактор КТК 0-10 (КПД-110) з в/к
; Контактор КТК 0-10 (ТКПМ 1-11)
; Основа дугогасильної котушки 
КТК 0-10
; Резистор фетр.0.85 Ом КФ-38
; Резистор фетр. 1.23 Ом КФ-38
; Резистор фетр. 1.61 Ом КФ-38
; Реле РЕВ-812
; Реле РЕВ-816
; Електричний роз’їм пнемо розподілювача КЦ
; Елемент кулачковий КЕ-42
; Гнучкий вал склоочисника Т-3
; Вимикач навантаження НА354 250А 
3-поз.
; Контролер ЛАЗ Е183 
6ES7212-1AB23-OXB8
; Датчик струму LT505-S/SP3
</t>
  </si>
  <si>
    <t>Крісло ATLANT EX LE-K 1.031, стільці на рамі ISO black 17-C11</t>
  </si>
  <si>
    <t>Л-1224/16</t>
  </si>
  <si>
    <t>ЛАУНЧ УКРАЇНА</t>
  </si>
  <si>
    <t>ЛЕВЧЕНКО БРОНІСЛАВ ФРАНКОВИЧ</t>
  </si>
  <si>
    <t>ЛУГОВЕНКО ІГОР ІГОРОВИЧ</t>
  </si>
  <si>
    <t>Лавки для сидіння 1600*350*450</t>
  </si>
  <si>
    <t xml:space="preserve">Лампа TL-D 18W/54 – 765 1SL/25
; Лампа TL-D 36W/54 – 765 1SL/25
; Лампа Іскра МО-36V 60W E27
; LED лампа VIDEX A60e 10W E27 4100K
; Лампа Osram H15 24V 20/60W
; Лампа Osram H3 24V 70W
; Лампа Osram H7 24V70W
; Osram лампа приладової панелі
; Лампа Osram W5W
; Osram R5W
; Лампа Osram P21W
; Лампа Osram P21/5W 24V
; Світлодіодний модуль 500мм для тролейбуса
; OSRAM Лампа H4 75/70W P43t
; Лампа TL-D 36W/54 – 765 1SL/25
; OSRAM Лампа T4W
; Світильник лінійний LED 27W "TETRA/SQ-27"
; Лампа VIDEX A60e 9W E27 4100K
; Лампа світлодіодна ЕВРОСВЕТ 12Вт 4200К  A-12 -4200 -27 Е27
; LED лампа TITANUM A80 18W E27 4100K
; Фара протитуманна 1N0008582007
; Фари основні, комплект 1DL008494811
; Фара багатофункціональна задня WAS 1439 DD L
; Фара багатофункціональна задня WAS 1439 DD P
</t>
  </si>
  <si>
    <t>Лампи</t>
  </si>
  <si>
    <t>Лист сталь 30мм ст3сп; Лист сталь 10мм ст3сп; Лист сталь 8,0мм ст3пс; Лист сталь 5,0мм ст3пс; Лист сталь 1,0мм ст08кп; Лист сталь 1,2мм ст08кп; Лист сталь 1,5мм ст08кп; Лист сталь 2,0мм ст3пс; Лист сталь 3,0мм ст3пс; Круг сталь ф6,5мм; Круг сталь ф8,0мм; Круг сталь ф10мм; Круг сталь ф12мм; Круг сталь ф14мм; Круг сталь ф16мм; Круг сталь ф20мм; Круг сталь ф25мм; Круг сталь ф26мм; Круг сталь ф30мм; Круг сталь ф36мм; Круг сталь ф40мм; Круг сталь ф50мм; Круг сталь ф60мм; Круг сталь ф70мм; Круг сталь ф80мм; Шестигранник 24мм; Шестигранник 27мм; Шестигранник 32мм; Шестигранник 36мм; Труба профільна 20х20х2мм; Труба профільна 20х40х2мм; Труба профільна 40х40х3мм; Труба профільна 40х60х3мм; Труба профільна 40х80х3мм; Труба профільна 50х25х2мм; Труба профільна 80х60х3мм; Швелер №16 ; Кутик 25х25х3мм ст3пс; Кутик 40х40х3мм ст3пс; Кутик сталевий 32х32х3мм ст3пс; Труба профільна 60х40х3мм; Труба профільна 80х40х3мм; Лист сталевий х/к 1,0х1000х2000
 (20 листів)
; Лист сталевий х/к 1,2х1000х2000 (50 листів)
; Лист сталевий х/к 1,5х1000х2000 (20 листів)
; Лист сталевий х/к 2,0х1000х2000 (20 листів)
; Шестигранник 17мм
; Шестигранник 19мм
; Лист сталевий х/к 1,2х1250х2500 (10 листів) ст08кп; Лист сталевий х/к 1,5х1250х2500(10 листів) ст08кп; Лист сталевий г/к 3,0х1250х2500(12 листів) ст3пс; Лист сталевий г/к 4,0х1500х6000(4 листа) ст3пс; Лист сталевий г/к 5х1500х6000 ст3пс; Лист сталевий г/к 8х1500х6000 ст3пс; Лист сталевий г/к 10х1500х6000 ст3сп (2 листа); Лист сталевий г/к 20мм ст3сп; Лист сталевий г/к 3мм ст3пс; Круг сталевий ф24мм; Арматура ф20мм; Труба профільна 20х30х2мм</t>
  </si>
  <si>
    <t xml:space="preserve">Лист х/к ст08кп 1,0*1250*2500; Лист х/к ст08кп 1,2*1250*2500; Лист х/к ст08кп 1,5*1250*25000; Лист г/к ст3пс 2,0*1250*2500; Лист г/к ст3пс 3,0*1250*2500; Лист г/к ст3пс 5,0*1500*6000; Лист г/к ст3пс 20*2000*1000; Круг стальний 3пс ф16мм.L-6000мм; Круг стальний 3пс ф24мм.L-6000мм; Труба профільна ст3пс 20*40*2 
L-6000мм
; Труба профільна ст3пс 40*40*2 
L-6000мм
; Труба профільна ст3пс 60*40*2 
L-6000мм
; Труба профільна ст3пс 40*30*2 
L-6000мм
; Труба профільна ст3пс 80*40*2 
L-6000мм
; Шестигранник 36мм
</t>
  </si>
  <si>
    <t>Лінолеум SMART 121600 2,5м.; Лінолеум SMART 121600 3м.; Лінолеум SMART 121600 3,5м.; Лінолеум «Acczent Universal T» 2,0м.</t>
  </si>
  <si>
    <t>МІСЬКЕ КОМУНАЛЬНЕ ПІДПРИЄМСТВО "МИКОЛАЇВВОДОКАНАЛ"</t>
  </si>
  <si>
    <t>МАКАРУК СЕРГІЙ МИКОЛАЙОВИЧ</t>
  </si>
  <si>
    <t>МАСТ КОМПАНІ</t>
  </si>
  <si>
    <t>МЕМТЕХ</t>
  </si>
  <si>
    <t>МИКОЛАЇВСЬКА РЕГІОНАЛЬНА ДЕРЖАВНА ЛАБОРАТОРІЯ ДЕРЖАВНОЇ СЛУЖБИ УКРАЇНИ З ПИТАНЬ БЕЗПЕЧНОСТІ ХАРЧОВИХ ПРОДУКТІВ ТА ЗАХИСТУ СПОЖИВАЧІВ</t>
  </si>
  <si>
    <t>МИКОЛАЇВСЬКА ФІЛІЯ ПРИВАТНОГО АКЦІОНЕРНОГО ТОВАРИСТВА "УКРАЇНСЬКА ПОЖЕЖНО-СТРАХОВА КОМПАНІЯ"</t>
  </si>
  <si>
    <t>МИКОЛАЇВСЬКИЙ НАЦІОНАЛЬНИЙ АГРАРНИЙ УНІВЕРСИТЕТ</t>
  </si>
  <si>
    <t>МКЛ/БЛ-3779</t>
  </si>
  <si>
    <t>МОРОЗ ТАЇСІЯ СЕРГІЇВНА</t>
  </si>
  <si>
    <t>МПКА-УКРАЇНА</t>
  </si>
  <si>
    <t>МРБ-С-2023-1</t>
  </si>
  <si>
    <t>Миючий засіб для посуду (Fairy (або еквівалент) 500мм.); Порошок для чистки (500г.); Паста «Авто-майстер» (або еквівалент) (550г.); Засіб для чищення «Доместос» (або еквівалент) (1000мл.); Засіб для скла Clin (або еквівалент) з розпилювачем 500мл.; Пральний порошок  400г; Білизна (900мл.)</t>
  </si>
  <si>
    <t>Молоко незбиране згущене з цукром</t>
  </si>
  <si>
    <t>Монітор 23,8 Acer EK240YC (UM QE0EE C01</t>
  </si>
  <si>
    <t xml:space="preserve">Мультимедійна система автомобільна </t>
  </si>
  <si>
    <t xml:space="preserve">Муфта 20*1/2н (Thermo Alliance); Труба SDR. 6 3.4 мм PN20 * 20 (Т.А.); Кухонний змішувач U (k35)QT Uno CRM 008; Американка 20*1/2в (Thermo Alliance); Муфта 25*1/2н (Thermo Alliance); Труба ПП 110х2.7 (3,000м) 1рез TA Sewage; Змішувач на умивальник (k40) лат. Lidz (CRM) Premiera 84 001; Сифон для умивальника LU01 (60 06 Y001 01) випуск 70 мм без гайки, колбовий (вихід гофра 40/50мм); Планка під змішувач 20*1/2в (Thermo Alliance); Труба SDR 6 4.2 мм PN20 * 25 (Т.А.); Труба ПП 50х1.8 (1,000м) 1рез TA Sewage; Водонагрівач електричний 30 л універсальний, мокрий ТЭН 1,5 кВт D30VH15Q1 Thermo Alliance; Коліно 45° 110х110 (1рез) TA Sewage; Куток 20 * (45) (Thermo Alliance); Куток 25 * (45) (Thermo Alliance); Заглушка 50 TA Sewage; Труба ПП 110х2.7 (0,315м) 1рез TA Sewage; Шланг для води, нержавіюча оплітка в силіконі М10*50 см (пара) SF380W50 SD FORTE; Шланг для води, нержавіюча оплітка в силіконі  М10*60 см (пара) SF380W60 SD FORTE; Шланг для води, нержавіюча оплітка в силіконі  М10*80 см (пара) SF380W80 SD FORTE; Шланг для води, нержавіюча оплітка в силіконі 50 см гг SF381W50 SD FORTE; Шланг для води, нержавіюча оплітка в силіконі  60 см гг SF381W60 SD FORTE; Шланг для води, нержавіюча оплітка в силіконі  80 см гг SF381W80 SD FORTE; Кульовий кран 1" РГШ вода SD605W25 SD ; Коліно 90° 50х50 (1рез) TA Sewage; Бухта 16 б/шовн.* PEXAL SD300W16 SD ; Бухта 20 б/шовн.* PEXAL SD300W20 SD ; Труба ПП 110х2.7 (0,500м) 1рез TA Sewage; Трійник 90° 50х50х50 (2рез) TA Sewage; Труба ПП 50х1.8 (0,315м) 1рез TA Sewage; Куток 20 * (90) (Thermo Alliance); Коліно 90° 110х110 (1рез) TA Sewage; Кріплення U д/труб 25 (В.О.); Куток 25 * (90) (Thermo Alliance); Трійник 20 (Thermo Alliance); Змішувач душовий (б) QT Arena CRM 010 ; Перехідник 16*1/2в* NTM SV1531615Valve; Перехідник 16*1/2н* NTM SV1541615Valve; Перехідник 20*1/2в* NTM SV1532015Valve; Перехідник 20*1/2н* NTM SV1542015Valve; Трійник 25 (Thermo Alliance); Труба ПП 50х1.8 (0,500м) 1рез TA Sewage; Трійник 90° 110х110х110 (2рез) TA Sewage; Гофра армована для унітазу D-110 мм, довжина 370мм Lidz (WHI) 60 01 G001 00; Муфта 20*1/2в (Thermo Alliance); Муфта 25*1/2в (Thermo Alliance); Труба ПП 110х2.7 (1,000м) 1рез TA Sewage; Кухонний змішувач на гайці 15см (k40) лат. Lidz (CRM) Cosmos 80 003 01; Труба ПП 50х1.8 (2,000м) 1рез TA Sewage; Кульовий кран 2" РГШ вода SF605W50 SD FORTE; Кульовий кран 1 1/2 РГШ вода SF605W40 SD FORTE; Кульовий кран 1 1/4 РГШ вода SF605W32 SD FORTE; Кульовий кран 3/4 БГШ вода SF607W20 SD FORTE; Кульовий кран 3/4 РГГ вода SF600W20 SD FORTE; Кульовий кран 1/2 БГГ вода SF602W15 SD FORTE; Кульовий кран 1/2 БГШ вода SF607W15 SD FORTE; Умивальник ЕКО 55; Колона ДЕКО ; Компакт Корал 011 ; Умивальник ЕКО 60; Піддон душовий 90*90; Трап для душу 20*20; Труба ПЕ д20 пн 10; Труба ПЕ д25 пн 10; Труба ПЕ д32 пн 10; Труба ПЕ д50 пн 10; Трійник 20*2 х 20*2 х 20*2 д/металопласт. труб №546 Icma; Кран кульовий латунь посилений нікеліров. важіль поливальний 3/4"з SD140W20 S; Кран-американка прямий 1/2" PN50 ICMA №347; Кут латун. нікелірован. д/металопласт. труб 16х16 SD155W1616 SD Plus; Кут латун. нікелірован. д/металопласт. труб 20х20 SD155W2020 SD Plus; Кран вентил.букса кутовий,хром. 1/2"зз д/прилад. SF3441515 SD Forte; Клапан зворотного ходу з латунним штоком 1/2"в SF240W15 SD Forte ; Клапан зворотного ходу з латунним штоком 1 1/4"в SF240W32 SD Forte ; Муфта перехідна латун. нікелірована д/металопласт. труб 16 х1/2"з SV1541615 Valve; Кран-американка прямий 1" PN40 ICMA №347; Кран кульовий для поливу ручка-важіль нікел. 1/2"з х під шланг SV140W15 Valve; Клапан зворотного ходу нікел з латунним штоком. 3/4"в SF240NW20 SD Forte; Фільтр косий грубої очистки латун. 3/4"в д/труб SD124W20 SD Plus; Кран-американка прямий з антіпротіканням 3/4" PN40 ICMA №348; Муфта перехідна 3/4"з х16*2 д/металопласт. труб №531 Icma; Водонагрівач електричний 100 л універсальний, ARIESTA сухий ТЭН 2,0 кВт D30VH15Q1; Труба ПЕ д63 пн10; Трійник 45° 110х110х110 (2рез) TA Sewage; Коліно 45° 50х50 (1рез) TA Sewage; Заглушка 110 TA Sewage; Труба ПП 50х1.8 (3,000м) 1рез TA Sewage; Труба ПП 110х2.7 (2,000м) 1рез TA Sewage; Змішувач на умивальник на гайці (k35)Lidz
 (CRM) 1434001F (143401 00)
</t>
  </si>
  <si>
    <t xml:space="preserve">Місячний проїзний квиток тролейбус для підприємств; Місячний проїзний квиток трамвай для підприємств; Місячний проїзний квиток трамвай-тролейбус для підприємств; Місячний проїзний квиток тролейбус громадський; Місячний проїзний квиток трамвай громадський; Місячний проїзний квиток трамвай-тролейбус громадський; Місячний проїзний квиток тролейбус студентський; Місячний проїзний квиток трамвай студентський; Місячний проїзний квиток трамвай-тролейбус студентський; 15-денний проїзний квиток  тролейбус громадський; 15-денний проїзний квиток   трамвай громадський; 15-денний проїзний квиток трамвай-тролейбус громадський </t>
  </si>
  <si>
    <t>Мітчик р. М 4; Мітчик р. М 5; Мітчик р. М 6; Мітчик р. М 8; Мітчик р. М 8*1; Мітчик р. М 10; Мітчик р. М 10*1,0; Мітчик р. М 10*1,25; Мітчик р. М 12; Мітчик р. М 12*1; Мітчик р. М 12*1,25; Мітчик р. М 12*1,5; Мітчик р. М 14; Мітчик р. М 14*1; Мітчик р. М 14*1,25; Мітчик р. М 14*1,5; Мітчик р. М 16; Мітчик р. М 16*1; Мітчик р. М 16*1,5; Мітчик р. М 18; Мітчик р. М 18*1; Мітчик р. М 18*1,5; Мітчик р. М 18*2; Мітчик р. М 20; Мітчик р. М 20*1,5; Мітчик р. М 22; Мітчик р. М 22*2; Мітчик р. М 24; Мітчик р. М 24*1,5; Мітчик р. М 24*2; Мітчик р. М 27; Мітчик р. М 27*1,5; Мітчик р. М 30*2; Мітчик р. М 39*2; Центр верстатний №3, А-1-3Н; Патрон св. D(3-16мм) /конус В18; Розвертка ручна регульована 19-21 ; Розвертка ручна регульована 26-29,5; Розвертка ручна регульована 23-26; Розвертка ручна регульована 21-23; Різець прохідний відігнутий 25*16*140 Т15К6; Різець прохідний відігнутий 25*16*140 ВК8; Різець прохідний відігнутий 25*16*140 Т5К10; Різець різьбовий зовнішній 25*16*140 Т5К10; Різець  різьбовий зовнішній 25*16*140 Т15К6; Різець  різьбовий зовнішній 25*16*140 ВК8; Різець прохідний упорний зігнутий (тип2) 25*16*140 Т5К10; Різець  прохідний упорний зігнутий (тип2) 25*16*140  Т15К6; Різець  прохідний упорний зігнутий (тип2) 25*16*140 ВК8; Різець відрізний 25*16*140 Т15К6; Різець  відрізний 25*16*140 Т5К10; Різець  відрізний 25*16*140 ВК8; Проволока пломбірувальна ; Свердло ц/х 3,5мм; Свердло ц/х 4мм; Свердло ц/х 4,2мм; Свердло ц/х 4,5мм; Свердло ц/х 5мм; Свердло ц/х 6мм; Свердло ц/х 6,6мм; Свердло ц/х 7мм; Свердло ц/х 8мм; Свердло ц/х 8,2мм; Свердло ц/х 8,5мм; Свердло ц/х 9мм; Свердло ц/х 10мм; Свердло ц/х 10,2мм; Свердло ц/х 10,5мм; Свердло ц/х 12мм; Свердло ц/х 12,5мм; Свердло ц/х 14мм; Свердло ц/х 14,5мм; Свердло ц/х 15,5мм; Свердло ц/х 16мм; Свердло ц/х 16,5мм; Свердло ц/х 18мм; Свердло ц/х 18,5мм; Свердло к/х 20мм; Свердло к/х 20,5мм; Свердло к/х 21мм; Свердло к/х 22,5мм; Свердло к/х 36,5мм; Свердло конусове ступеневе 6-38мм; Плашка М4; Плашка М5; Плашка М6; Плашка М8; Плашка М8*1; Плашка М10; Плашка М10*1; Плашка М10*1,25; Плашка М12; Плашка М12*1; Плашка М12*1,25; Плашка М12*1,5; Плашка М14; Плашка М14*1; Плашка М14*1,25; Плашка М14*1,5; Плашка М16; Плашка М16*1,5; Плашка М18; Плашка М18*1; Плашка М18*1,5; Плашка М18*2; Плашка М20; Плашка М20*1,5; Плашка М22; Плашка М22*2; Плашка М24; Плашка М24*1,5; Плашка М24*2; Плашка М27; Плашка М27*1,5; Плашка М30*2; Плашка М39*2; Мітчик гайковий прямий М27 ; Мітчик гайковий прямий М24; Мітчик гайковий прямий М16</t>
  </si>
  <si>
    <t>НІКОЛАЄВА АНГЕЛІНА СТАНІСЛАВІВНА</t>
  </si>
  <si>
    <t>НЕСТЕРЕНКО ОКСАНА АНАТОЛІЇВНА</t>
  </si>
  <si>
    <t>НТМ00004439</t>
  </si>
  <si>
    <t>Налобний світлодіодний ліхтарик VIDEX VLF-H035C 410Lm 5000K Ліхтар переносний YAJIA Yj- 2829</t>
  </si>
  <si>
    <t>Налобні світлодіодні ліхтарі VIDEX VLFH015 330Lm 50000K</t>
  </si>
  <si>
    <t>Наповнювач твердозмащувальний для мастила компресора LB-30: "НТК-12"; Наповнювач твердозмащувальний для мастила компресора LB-50: "НТК-12"; Наповнювач твердозмащувальний для мастила компресора АКВ-03- 01:  "SHELL Corena НТ"; Наповнювач твердозмащувальний для мастила тягових редукторів вагонів типу К1, Т3 (4): "ТАп15В НТ" (Флакон “Р"); Наповнювач твердозмащувальний для мастила осьових підшипників вагонів типу К1, Т3 (4): "ТАп15В НТ" (Флакон “Б”); Наповнювач твердозмащувальний для мастила центральних редукторів мостів типу RABA 118: "ТАД-17i НТ" (Флакон "Ц”); Наповнювач твердозмащувальний для мастила колісних редукторів мостів типу RABA 118: "ТАД -17i НТ" (Флакон “К”); Наповнювач твердозмащувальний для центральних редукторів мостів типу ZF AV-132/80: "80W -90 НТ". (Флакон "Ц”); Наповнювач твердозмащувальний для колісних редукторів мостів типу ZF AV -132/80: "80W -90 НТ". (Флакон “К”); Наповнювач твердозмащувальний для мастила тягових редукторів вагонів типу К1, Т3 (4): "ТАД - 17і НТ" (Флакон “Р"); Наповнювач твердозмащувальний для мастила осьових підшипників вагонів типу К1, Т3 (4): "ТАД - 17і НТ" (Флакон “Б”); Наповнювач твердозмащувальний для мастила тягових редукторів вагонів типу КТМ -5: "ТАД -17і НТ" (Флакон “Р"); Змащувальна композиція ЛІТОЛ -24 НТ</t>
  </si>
  <si>
    <t>Номер договору</t>
  </si>
  <si>
    <t>ОГАНЕСЯН МАРИНА ОЛЕКСАНДРІВНА</t>
  </si>
  <si>
    <t>ОЛІЙНИКОВ ЄВГЕН ІГОРОВИЧ</t>
  </si>
  <si>
    <t>ООО "ТД "АЛЕКСАНДР"</t>
  </si>
  <si>
    <t>ОСТАПЧУК МИКОЛА РОСТИСЛАВОВИЧ</t>
  </si>
  <si>
    <t>ОСТРОВЕРХОВ ДМИТРО ВАЛЕРІЙОВИЧ</t>
  </si>
  <si>
    <t>Обробка даних та формування кваліфікованого сертифікату відкритого ключа, постачання КП «Програмний комплекс «Варта» з правом використання до закінчення терміну дії кваліфікованого сертифікату електронного підпису</t>
  </si>
  <si>
    <t>Олива трансмісійна ТАП-15В або еквівалент; Олива трансмісійна ТАД-17і або еквівалент; Олива компресорна КС-19 або еквівалент; Олива моторна YACCO VX 1000 LL 5W40 або еквівалент; Олива моторна YACCO VX 500 10W-40 або еквівалент; Мастило універсальне YACCO DEGRIPPANT 6 in 1 (500мл) або еквівалент; Мастило Солідол; Мастило Літол-24; Мастило графітне</t>
  </si>
  <si>
    <t>Олива індустріальна І-40; Олива індустріальна І-20; Олива трансмісійна ТАП-15В; Олива трансмісійна ТАД-17і; Олива компресорана КС-19; Олива гідравлічна МГЕ-46В; Олива моторна М10Г2К; Олива трансмісійна Нігрол; Моторна олива  0W20; Моторна олива  10W40; Моторна олива  10W40; Моторна олива 5W40; Моторна олива  10W30; Моторна олива 10W30; Олива трансмісійна ATF VI; Олива трансмісійна 75W85; Олива трансмісійна 80W90; Олива трансмісійна 
ATF III
; Олива трансмісійна ATF II; Олива компресорна ISO VG 46; Мастило Літол 24; Мастило Солідол; Мастило Графітне; Мастило EP-2; Мастило проникаюче; Охолоджуюча рідина; Охолоджуюча рідина; Охолоджуюча рідина Тосол</t>
  </si>
  <si>
    <t>Опори СК 120-17</t>
  </si>
  <si>
    <t xml:space="preserve">Охолоджуюча рідина YACCO LR ORGANIQUE ; Охолоджуюча рідина Тосол ; Антифриз для пневмосистеми WABCO ; Олива моторна М10Г2К ; Зимовий омивач для скла Liqui Moly -27 C ; Олива моторна YACCO VX 1000 LL 5W40 ; Олива моторна YACCO VX 500 10W-40 ; Гальмівна рідина YACCO 75 R DOT 4+ ; Олива трансмісійна ТАД-17і ; Мастило універсальне YACCO DEGRIPPANT 6 in 1 (500мл) </t>
  </si>
  <si>
    <t>ПІДПРИЄМСТВО ОБ'ЄДНАННЯ ГРОМАДЯН "МИКОЛАЇВСЬКЕ УЧБОВО-ВИРОБНИЧЕ ПІДПРИЄМСТВО УКРАЇНСЬКОГО ТОВАРИСТВА СЛІПИХ"</t>
  </si>
  <si>
    <t>ПАНАСЮК ІЛЛЯ ОЛЕГОВИЧ</t>
  </si>
  <si>
    <t>ПНЕВМАТИК ТРЕЙД</t>
  </si>
  <si>
    <t>ПОГРОМСЬКА ЛЮБОВ АРТУРІВНА</t>
  </si>
  <si>
    <t>ПОЛІТЕХНОСЕРВІС</t>
  </si>
  <si>
    <t>ПП "ІНАУТ"</t>
  </si>
  <si>
    <t>ПРИВАТНЕ АКЦІОНЕРНЕ ТОВАРИСТВО "АРТСЕРВІС"</t>
  </si>
  <si>
    <t>ПРИВАТНЕ АКЦІОНЕРНЕ ТОВАРИСТВО "БІЛОЦЕРКІВСЬКИЙ ЗАВОД ЗАЛІЗОБЕТОННИХ КОНСТРУКЦІЙ"</t>
  </si>
  <si>
    <t>ПРИВАТНЕ АКЦІОНЕРНЕ ТОВАРИСТВО "КИЇВСТАР"</t>
  </si>
  <si>
    <t>ПРИВАТНЕ АКЦІОНЕРНЕ ТОВАРИСТВО "ПЕРВОМАЙСЬКИЙ МОЛОЧНОКОНСЕРВНИЙ КОМБІНАТ"</t>
  </si>
  <si>
    <t>ПРИВАТНЕ АКЦІОНЕРНЕ ТОВАРИСТВО "УКРАЇНСЬКА ПОЖЕЖНО-СТРАХОВА КОМПАНІЯ"</t>
  </si>
  <si>
    <t>ПРИВАТНЕ АКЦІОНЕРНЕ ТОВАРИСТВО "ЦЕНТР КОМП'ЮТЕРНИХ ТЕХНОЛОГІЙ "ІНФОПЛЮС"</t>
  </si>
  <si>
    <t>ПРИВАТНЕ ПІДПРИЄМСТВО "АСТРА-ЛАЙФ"</t>
  </si>
  <si>
    <t>ПРИВАТНЕ ПІДПРИЄМСТВО "БУРВОД"</t>
  </si>
  <si>
    <t>ПРИВАТНЕ ПІДПРИЄМСТВО "МЕДИЦИНА ДЛЯ ВАС"</t>
  </si>
  <si>
    <t>ПРИВАТНЕ ПІДПРИЄМСТВО "МЕМТЕХ"</t>
  </si>
  <si>
    <t>ПРИВАТНЕ ПІДПРИЄМСТВО "ПРИВАТНА КОНСАЛТИНГОВА ФІРМА "ЕКСПЕРТ"</t>
  </si>
  <si>
    <t>ПРИВАТНЕ ПІДПРИЄМСТВО НАУКОВО-ВИРОБНИЧА ФІРМА "МИКОЛАЇВСЬКА ЕНЕРГОПРОМИСЛОВА КОМПАНІЯ"</t>
  </si>
  <si>
    <t xml:space="preserve">Папір газетний 45г/м.кв. 1000 арк., папір для принтеру </t>
  </si>
  <si>
    <t>Папір офісний А4 80 г/м білий 500 аркушів; Папір офісний А4 офсетний 60 г/м2 500 аркушів; Папір офісний А3 80 г/м 500 аркушів</t>
  </si>
  <si>
    <t>Перемичка акб</t>
  </si>
  <si>
    <t>Переможець (назва)</t>
  </si>
  <si>
    <t>Полиця навісна 875*300*675 дуб сонома</t>
  </si>
  <si>
    <t>Поручні підвісні</t>
  </si>
  <si>
    <t>Послуги з вивезення твердих побутових відходів</t>
  </si>
  <si>
    <t>Послуги з захоронення побутових відходів</t>
  </si>
  <si>
    <t>Послуги з проведення одноденного онлайн-навчання, що проводиться в якості спеціальної короткострокової програми підвищення кваліфікації на тему: "Поводження з відходами на підприємстві"</t>
  </si>
  <si>
    <t>Послуги з проведення попередніх, періодичних та позачергових психіатричних оглядів, у т.ч. на предмет вживання психоактивних речовин відповідно до Наказу МОЗ України №651 від 18.04.22р. «Порядок проведення попередніх, періодичних та позачергових психіатричних оглядів, у т.ч. на предмет вживання психоактивних речовин».; Послуги з проведення періодичного медичного огляду щодо придатності до керування ТЗ водіїв; Послуги з проведення періодичного медичного огляду працівників зі шкідливими умовами праці; Послуги з проведення медичного огляду декретованої категорії населення</t>
  </si>
  <si>
    <t>Послуги з розміщення та просування вакансій Замовника та інші супутні послуги на сайті Виконавця Work.ua</t>
  </si>
  <si>
    <t>Послуги з технічного обслуговування і ремонту техніки та окремих її складових частин</t>
  </si>
  <si>
    <t xml:space="preserve">Послуги з хімічної регенерації мембранного елемента XLE-440; Послуги з сервісно-профілактичного обслуговування системи очищення води; Послуги з додаткового очищення фільтрів </t>
  </si>
  <si>
    <t>Послуги з централізованого водовідведення</t>
  </si>
  <si>
    <t>Послуги з централізованого водовідведення (вул. Курортна, буд.9А, кв.2)</t>
  </si>
  <si>
    <t>Послуги з централізованого водопостачання</t>
  </si>
  <si>
    <t>Послуги з централізованого водопостачання (вул. Курортна, буд.9А, кв.2)</t>
  </si>
  <si>
    <t>Послуги зі встановлення скла на тролейбус Дніпро Т203</t>
  </si>
  <si>
    <t>Послуги зі страхування трансопртних засобів (тролейбусів)</t>
  </si>
  <si>
    <t>Послуги зі страхування транспортних засобів (тролейбусів)</t>
  </si>
  <si>
    <t>Послуги мобільного зв’язку 113 абонентських номерів</t>
  </si>
  <si>
    <t>Послуги мобільного зв’язку 7 абонентських номерів</t>
  </si>
  <si>
    <t>Послуги онлайн-сервісу програмного забезпечення "Система електронного документообігу АСКОД" (АСКОД Корпоративний, АСКОД WEB)</t>
  </si>
  <si>
    <t>Послуги пов’язані з аудитом фінансової звітності, складеної відповідно до МСФЗ у форматі для подання до статистичних та контролюючих органів України; аудит фінансової звітності, складеної у форматі для Європейського банку реконструкції та розвитку разом зі звітом незалежного аудитора щодо неї, за роки що завершились 31 грудня 2021 року та 31 грудня 2022 року, складеним відповідно до Міжнародних стандартів аудиту</t>
  </si>
  <si>
    <t>Послуги із забезпечення перетікань реактивної електричної енергії</t>
  </si>
  <si>
    <t xml:space="preserve">Послуги із страхування транспортних засобів (тролейбусів) </t>
  </si>
  <si>
    <t xml:space="preserve">Потужний трубогиб і профилегиб STILER RBM 40; Стрічкопильний  верстат по металу STILER BS 260G з тензометром </t>
  </si>
  <si>
    <t>ПрАТ "ВФ Україна"</t>
  </si>
  <si>
    <t>Право на використання КП АРМ «Автошкола»</t>
  </si>
  <si>
    <t>Предмет закупівлі</t>
  </si>
  <si>
    <t xml:space="preserve">Пристрої для зберігання та зчитування даних (Жорсткі диски); Екрани комп’ютерних моніторів та консолі (Монітори) </t>
  </si>
  <si>
    <t>Провід ППСРВМ 1х10 (660В); Провід ППСРВМ 1х25 (660В); Провід ППСРВМ 1х35 (660В); Провід ППСРВМ 1х50 (660В); Провід КГ 1*6; Провід КГ 1*35; Кабель АВВГ 2х2,5; Кабель АВВГ 2х4; Кабель АВВГ 2х6; Кабель АВВГ 3х2,5; Кабель АВВГ 3х4; Кабель АВВГ 3х6; Кабель АВВГ 4х6; Кабель АВВГ 4х10; Провід ПВС 2х1,5; Провід ПВС 2х2,5; Провід ПВС 2х4; Провід ПВС 3х1; Провід ПВС 3х1,5; Провід ПВС 3х2,5; Провід ПВС4х2,5; Провід ПВС 4х4; Провід ПВ-3 1х1; Провід ПВ-3 1х1,5; Провід ПВ-3 1х2,5; Кабель КГНВ 1х10; Кабель КГНВ 1х25; Кабель КГНВ 1х35; Кабель КГНВ 1х50; Кабель "CAN UNITRONIC BAS CAN"" 2*2*0,75; Кабель для BUS систем "CAN UNITRONIC BAS CAN" 1*2*0,5; Кабель КПП-ВП (100) 4*2*0.51 (U/UTP-cat 5E)</t>
  </si>
  <si>
    <t>Підшипник 108710; Підшипник 108810; Підшипник 122; Підшипник 180018; Підшипник 180029; Підшипник 180201; Підшипник 180202; Підшипник 180203; Підшипник 180204; Підшипник 180205; Підшипник 180206; Підшипник 180303; Підшипник 180306; Підшипник 180307; Підшипник 180308; Підшипник 180309; Підшипник 180310; Підшипник 2312; Підшипник 27313; Підшипник 3003220; Підшипник 312; Підшипник 32310Л; Підшипник 32314Л; Підшипник 32412Л; Підшипник 32413Л; Підшипник 32615Л; Підшипник 3620; Підшипник 410; Підшипник 413; Підшипник 42308; Підшипник 7208; Підшипник 7216; Підшипник 7220; Підшипник 7307; Підшипник 7312; Підшипник 7508; Підшипник 7609; Підшипник 7610; Підшипник 7612; Підшипник 7613; Підшипник 7614; Підшипник 7615; Підшипник 80018; Підшипник 80305; Підшипник 8205; Підшипник 8210; Підшипник NJ308; Підшипник 129710; Підшипник 4074106; Підшипник 7611; Підшипник 1000916; Підшипник 33213; Підшипник 32314; Підшипник 32217; Підшипник 32017; Підшипник 32220; Підшипник 2007122; Підшипник 180304; Підшипник 205; Підшипник 204</t>
  </si>
  <si>
    <t>РОЕ комутатор Merlion 8 POE 10/100 + 2 Rj45 10/100/1000, медіаконвертер (комплект) 100Мб/с; кабель оптичний UT-004</t>
  </si>
  <si>
    <t>РР-20</t>
  </si>
  <si>
    <t>Разові квитки для проїзду у трамваї та тролейбусі (Виробник ПрАТ «АРТСЕРВІС», Україна)</t>
  </si>
  <si>
    <t>Рейка трамвайна типу NT1; Рейка R-65; Рейка Р-50; Накладка трамвайна NT-1; Накладка трамвайна ТВ; Шпала залізобетонні типу Ш1 марки Ш1-1; Шпали дерев’яні типу ІІА (просочені) нові; Накладка 2Р-65; Накладка Р-50; Болт колійний М24 у зборі; Болт колійний М27 у зборі; Болт закладний в зборі; Болт клемний в зборі з клемою ПК; Підкладка Д-65; Підкладка Д-50; Підкладка КБ-65; Прокладка гумова ЦП; Прокладка гумова ОП; Прокладка ПРБ-1; Милиця шляхова 165Х16х16; Гайка колійна М24; Шайба Гровера 2-х виткові; Клема ЛК-1; Клема ЛК-4; Втулка ізоляційна ЛК; Шайба плоска ЛК; Пружина КМК; Тяга комплектна колійна діаметр 22; Пересічення трамвайне зварне праве R30; Температурний компенсатор РТ62 (NT-1); Стрілка з поворотним пером для трамвайної колії радіусу 50м ліва проекту 
Дн 910.20.000
; Стрілка глуха (без пера) для трамвайної колії радіусу 50 м ліва проекту Дн 910.40.000
; Стрілка з поворотним пером для трамвайної колії радіусу 30 м ліва проекту Дн 740.20.000
; Стрілка глуха (без пера) для трамвайної колії радіусу 30 м ліва проекту Дн 740.40.000
; Стрілка з поворотним пером для трамвайної колії радіусу 30 м права проекту Дн 740.10.000
; Стрілка глуха (без пера) для трамвайної колії радіусу 30 м права проекту Дн 740.30.000
; Хрестовина типу Тв65 R31524 мм ліва проекту Дн 740.00.001; Хрестовина типу Тв65 R31524 мм права проекту Дн 740.00.002; Хрестовина типу Тв65 R56472 мм ліва проекту Дн 910.00.001; Перо стр/ переводу R-50 ліве; Перо стр. Переводу R-50 прав.; Перо стр/ переводу R-30 ліве; Перо стр/ переводу R-30 прав.</t>
  </si>
  <si>
    <t>Розподіл електричної енергії</t>
  </si>
  <si>
    <t>Розчинник 647 (5л.); Розчинник 650 (5л.); Розчинник "Уайт-спірит" (1л.)</t>
  </si>
  <si>
    <t>САДОМОВ ОЛЕКСАНДР СЕРГІЙОВИЧ</t>
  </si>
  <si>
    <t>СК-131</t>
  </si>
  <si>
    <t>СК-370</t>
  </si>
  <si>
    <t>СК-564</t>
  </si>
  <si>
    <t>СК-978</t>
  </si>
  <si>
    <t>СОЙРІКО</t>
  </si>
  <si>
    <t>СП011878</t>
  </si>
  <si>
    <t>СТКМ</t>
  </si>
  <si>
    <t xml:space="preserve">Саморіз покрівельний по металу 4,8*19мм RAL9006 срібний 250шт BudmonsteR Prime 1/12/20 (код 207/21); Саморіз покрівельний по дереву 4,8*35мм RAL7004 світло-сірий 250шт BudmonsteR Prime 1/20 (код 207/2); Саморіз покрівельний по дереву 4,8*35мм RAL8017 коричневий 250шт BudmonsteR Prime 1/12 (код 207/2); Болт 5*20 DIN 933 оц (код 101w)    ; Болт 5*30 DIN 933 оц  (код 101w)    ; Болт 5*40 DIN 933 оц  (код 101w)     ; Болт 6*30 DIN 933 оц  (код 101w)             ; Болт 6*50 DIN 933 оц  (код 101w)            ; Болт 6*60 DIN 933 оц  (код 101w)                    ; Болт 8*25 DIN 933 оц  (код 101w)                           ; Болт 8*45 DIN 933 оц  (код 101w)                                     ; Болт 8*80 DIN 933 оц  (код 101w)                                               ; Болт 16*80 DIN 933 оц  (код 101w)                                                           ; Болт 16*90 DIN 933 оц  (код 101w)                                                                 ; Болт 20*80 DIN 933 оц  (код 101w)                                                                            ; Болт М6*20 DIN 933 оц  (код 101w)                                                                                     ; Болт М6*25 DIN 933 оц  (код 101w)                                                                                     ; Болт М6*40 DIN 933 оц  (код 101w)                                                                                       ; Болт М8*20 DIN 933 оц  (код 101w)                                                                                               ; Болт М8*35 DIN 933 оц  (код 101w)                                                                                                          ; Болт М8*60 DIN 933 оц  (код 101w)                                                                                                                   ; Болт М8*50 DIN 933 оц (код 101w)                                                                                                                           ; Болт М10*25 DIN 933 оц  (код 101w)                                                                                                                            ; Болт М10*35 DIN 933 оц  (код 101w)                                                                                                                                      ; Болт М10*40 DIN 933 оц  (код 101w)                                                                                                                                               ; Болт М10*60 DIN 933 оц  (код 101w)                                                                                                                                                       ; Болт М10*80 DIN 933 оц  (код 101w)                                                                                                                                                              ; Болт М12*25 DIN 933 оц  (код 101w)                                                                                                                                                                ; Болт М12*40 DIN 933 оц  (код 101w)                                                                                                                                                                     ; Болт М12*45 DIN 933 оц  (код 101w)                                                                                                                                                                            ; Болт М12*70 DIN 933 оц  (код 101w)                                                                                                                                                                                    ; Болт М14*30 DIN 933   (код 101)                                                                                                                                                                                              ; Болт М14*45 DIN 933 оц  (код 101w)                                                                                                                                                                                            ; Болт М14*60 DIN 933 оц  (код 101w)                                                                                                                                                                                                     ; Болт М16*45 DIN 933 (код 101)                                                                                                                                                                                                             ; Болт М16*55 DIN 933 оц  (код 101w)                                                                                                                                                                                                                     ; Гайка М5 оц DIN 934 (код 120 w)                                                                                                                                                                                                                ; Гайка М6 оц DIN 934 (код 120 w)                                                                                                                                                                                                              ; Гайка М8 оц DIN 934 (код 120 w)                                                                                                                                                                                                         ; Гайка М10 оц DIN 934 (код 120 w)                                                                                                                                                                                                       ; Гайка М12 оц DIN 934 (код 120 w)                                                                                                                                                                                                     ; Гайка М14 оц DIN 934 (код 120 w)                                                                                                                                                                                                ; Гайка М16 оц DIN 934 (код 120 w)                                                                                                                                                                                             ; Гайка М20 оц DIN 934 (код 120 w)                                                                                                                                                                                            ; Шайба Ø5 оц DIN 125 (код 141 w)                                                                                                                                                                                     ; Шайба Ø6 оц DIN 125 (код 141 w)                                                                                                                                                                                     ; Шайба Ø8 оц DIN 125 (код 141 w)                                                                                                                                                                                 ; Шайба Ø10 оц DIN 125 (код 141 w)                                                                                                                                                                                   ; Шайба Ø12 оц DIN 125 (код 141 w)                                                                                                                                                                                  ; Шайба Ø14 оц DIN 125 (код 141 w)                                                                                                                                                                                          ; Шайба Ø16 оц DIN 125 (код 141 w)                                                                                                                                                                                        ; Шайба Ø20  оц   DIN 125 (код 141w)                                                                                                                                                                                    ; Гровер Ø8 оц DIN 7980  (код 145 w)                                                                                                                                                                                    ; Гровер Ø10 оц DIN 7980  (код 145 w)                                                                                                                                                                                          ; Гровер Ø12 оц DIN 7980  (код 145 w)                                                                                                                                                                                    ; Гровер Ø14 оц DIN 7980  (код 145 w)                                                                                                                                                                                 ; Гровер Ø16 оц DIN 7980  (код 145 w)                                                                                                                                                                            ; Гровер Ø20 оц DIN 7980  (код 145 w)                                                                                                                                                                       ; Шплінт 3,2*50 оц (код 161 w)                                                                                                                                                                        ; Шплінт 3,2*63 оц (код 161w)                                                                                                                                                                   ; Шплінт 4*71 оц (код 161w)                                                                                                                                                                 ; Шплінт 6,3*71 оц (код 161 w)                                                                                                                                                               ; Шплінт 6,3*71 оц (код 161 w)                                                                                                                                                           ; Заклепка витяжна 4*20 (код 701)                                                                                                                                                        ; Заклепка витяжна 4,8*24 (код 701)                                                                                                                                                         ; Заклепка витяжна 4,8*30 (код 701)                                                                                                                                                         ; Стяжка нейлон 3,6*200мм (4*200)100 шт. білий                                                                                                                                                       ; Стяжка нейлон 3,6*300мм (4*300)100 шт. білий                                                                                                                                                   ; Стяжка нейлон 4,8*400мм (4*400)100 шт. білий                                                                                                                                         ; Цвях L100 (код 181)                                                                                                                                       ; Цвях L80 (код 181)                                                                                                                                     ; Цвях L20 (код 181)                                                                                                                                 ; Саморіз гіпсокартон/дерево 3,5*25 (13 тис. шт.) (код 202)                                                                                                                           ; Саморіз гіпсокартон/дерево 3,5*35 (11 тис. шт.) (код 202)                                                                                                                   ; Саморіз гіпсокартон/дерево 3,5*45 (7 тис. шт.) (код 202)                                                                                                              ; Саморіз гіпсокартон/дерево 3,5*55 (4 тис. шт.) (код 202)                                                                                                          ; Саморіз гіпсокартон/дерево 4,2*76 (2,5 тис. шт.) (код 202)                                                                                                    ; Саморіз гіпсокартон/метал 3,5*25 (18 тис. шт.) (код 201)                                                                                                ; Саморіз п/м пкр свердло 4,2*19 оц (код 204)                                                                                       ; Саморіз п/м пкр свердло 4,2*25 оц (код 204)                                                                                   ; Саморіз п/м пкр гостр 4,2*19 оц (код 203)                                                                              ; Саморіз п/м пкр гостр 4,2*25 оц (код 203)                                                                       ; Дюбель 6*40 (код 303)  грибок                                                                   ; Дюбель 6*60 (код 303) грибок                                                                ; Дюбель 6*80 (код 301) потай                                                             ; Дюбель 8*80 (код 301) потай                                                       ; Дюбель 8*100 (код 301) потай                                                   ; Універсальний шуруп пот 4*16 (код 209)                                             ; Універсальний шуруп пот 4*20 (код 209)                                        ; Універсальний шуруп пот 4*25 (код 209)                                     ; Універсальний шуруп пот 4*45 (код 209)                                 ; Універсальний шуруп пот 5*45 (код 209)                          ; Саморіз п/м пот гостр 3,9*16 (код 203/2)                      ; Саморіз п/м пкр гостр 3,9*19 (код 203/1)                ; Саморіз п/м пкр гостр 4,8*22 (код 203/1)              ; Саморіз п/м пот гостр 4,8*45 (код 203/2)       ; Болт М14*30 DIN 933 оц  (код 101 w)                                                                                                                                                                                              </t>
  </si>
  <si>
    <t>Семінар для медичних працівників</t>
  </si>
  <si>
    <t>Сервер двопроцесорний TOWER Power Up #52 Xeon E5 2643 v3 x2/128 GB/SSD SAMSUNG 870 EVO 250GB 2.5” SATA/Samsung 970 Evo Plus 1TB M.2 PCle 3.0 x4 V-NAND MLC x2/Seagate IronWolf HDD 8TB 7200rpm 256MB ST8000VN004 3.5” SATAIII/Agestar AS-MC01 x2/lnt Video</t>
  </si>
  <si>
    <t>Сидіння водія поворотне з механічним віброзахисним модулем, з підлокітником та ременем безпеки (2х точковий) СВ-1.6800015-05 ; Сидіння пасажирське напівм’яке СПН - 1.6830010 ГК (оббивка-шкірозамінник); Кожух сидіння нижній СПН-1.6833.030 ГК шкірозамінник 207СР RAL 7005; Кожух спинки сидіння СПН-1.6835.030  ГК шкірозамінник 207СР RAL 7005 ; Сидіння пасажирське напівм’яке СПН – 4.6830010 (оббивка – тканина)</t>
  </si>
  <si>
    <t>Синтепон 200Ш, 1,5; Поролон EL 35-42 2000*1200*10; Поролон EL 35-42 2000*1200*30</t>
  </si>
  <si>
    <t>Скло вітрове МАЗ 203/206; Скло заднє МАЗ 203/206(2300*780); Скло вітрове ЛАЗ Е183; Скло заднє ЛАЗ Е183; Скло вітрове Skoda Tr 14 ліве низьке; Скло вітрове Skoda Tr 14 праве низьке; Скло вітрове Skoda Tr 14 ліве високе; Скло вітрове Skoda Tr 14 праве високе</t>
  </si>
  <si>
    <t>Статус договору</t>
  </si>
  <si>
    <t>Столи 1400*600*750, 1400*1200*750, 1000*600*750, 1300*600*750, 1700*750*750, стіл з полицею для папок 1300*650*750 ; Шафи для документів відкриті 700*350*2000, 1200*400*120</t>
  </si>
  <si>
    <t>Стіл 1500*700*750 горіх каліфорнійський, стіл 1000*600*750 горіх каліфорнійський, шкаф 900*350*2000 горіх каліфорнійський, шафи 900*450*2500 дуб сонома, шафа для одягу 600*450*2500 дуб сонома, столи 1200*650*750 правий дуб сонома, шафи 900*400*2400 дуб сонома</t>
  </si>
  <si>
    <t>Сума договору</t>
  </si>
  <si>
    <t xml:space="preserve">Суміш асфальтобетонна гаряча дрібнозерниста тип – Б, м – 2 (АСГ.Др.Щ.Б.НП ІІ БНД 70/100)  </t>
  </si>
  <si>
    <t>ТВ-приставка Mini PC-X3, 4G, 32G, UA USB 3.0 Android 9 (X96Max+/4</t>
  </si>
  <si>
    <t>ТГ-З-2023-103</t>
  </si>
  <si>
    <t>ТЕРНОВСЬКИЙ МИХАЙЛО МИХАЙЛОВИЧ</t>
  </si>
  <si>
    <t>ТО/09</t>
  </si>
  <si>
    <t>ТОВ "Алюміній -Україна"</t>
  </si>
  <si>
    <t>ТОВ "Алюміній-Україна"</t>
  </si>
  <si>
    <t>ТОВ "Електрокомплект"</t>
  </si>
  <si>
    <t>ТОВ "ОБРІЙ-СЕРВІС"</t>
  </si>
  <si>
    <t>ТОВ "Приват-Південь"</t>
  </si>
  <si>
    <t>ТОВ "Трейдкомплект"</t>
  </si>
  <si>
    <t>ТОВ "ЮГСТАЛЬ"</t>
  </si>
  <si>
    <t>ТОВ «ЕКВІВЕС»</t>
  </si>
  <si>
    <t>ТОВ ГУДВІЛ</t>
  </si>
  <si>
    <t>ТОВ ЕНЕРГОМЕХАНІКА</t>
  </si>
  <si>
    <t>ТОВ ТД «Автосвіт Миколаїв»</t>
  </si>
  <si>
    <t>ТОВАРИСТВО З ОБМЕЖЕНОЮ ВІДПОВІДАЛЬНІСТЮ "ІСКОБАР"</t>
  </si>
  <si>
    <t>ТОВАРИСТВО З ОБМЕЖЕНОЮ ВІДПОВІДАЛЬНІСТЮ "АВТОТРІПЛЕКС"</t>
  </si>
  <si>
    <t>ТОВАРИСТВО З ОБМЕЖЕНОЮ ВІДПОВІДАЛЬНІСТЮ "АКТИВГАЗ ЮГ"</t>
  </si>
  <si>
    <t>ТОВАРИСТВО З ОБМЕЖЕНОЮ ВІДПОВІДАЛЬНІСТЮ "АЛЬКОР СТАР"</t>
  </si>
  <si>
    <t>ТОВАРИСТВО З ОБМЕЖЕНОЮ ВІДПОВІДАЛЬНІСТЮ "ВИЛАЙН ГРУП"</t>
  </si>
  <si>
    <t>ТОВАРИСТВО З ОБМЕЖЕНОЮ ВІДПОВІДАЛЬНІСТЮ "ВК "КОМУНТРАНС"</t>
  </si>
  <si>
    <t>ТОВАРИСТВО З ОБМЕЖЕНОЮ ВІДПОВІДАЛЬНІСТЮ "ВОРК УКРАЇНА"</t>
  </si>
  <si>
    <t>ТОВАРИСТВО З ОБМЕЖЕНОЮ ВІДПОВІДАЛЬНІСТЮ "ГІДРАВЛІК МАСТЕР"</t>
  </si>
  <si>
    <t>ТОВАРИСТВО З ОБМЕЖЕНОЮ ВІДПОВІДАЛЬНІСТЮ "Д.І.О. - ТРЕЙДЕР ІНТЕРНАЦІОНАЛ"</t>
  </si>
  <si>
    <t>ТОВАРИСТВО З ОБМЕЖЕНОЮ ВІДПОВІДАЛЬНІСТЮ "ДАС-ІНСТРУМЕНТ"</t>
  </si>
  <si>
    <t>ТОВАРИСТВО З ОБМЕЖЕНОЮ ВІДПОВІДАЛЬНІСТЮ "ДЖЕМІКЛ"</t>
  </si>
  <si>
    <t>ТОВАРИСТВО З ОБМЕЖЕНОЮ ВІДПОВІДАЛЬНІСТЮ "ЕКОЕКСПЕРТИЗА"</t>
  </si>
  <si>
    <t>ТОВАРИСТВО З ОБМЕЖЕНОЮ ВІДПОВІДАЛЬНІСТЮ "ЕЛКОМ УКРАЇНА СЕРВІС"</t>
  </si>
  <si>
    <t>ТОВАРИСТВО З ОБМЕЖЕНОЮ ВІДПОВІДАЛЬНІСТЮ "ЕЛСІЕЛ-ТРАНС"</t>
  </si>
  <si>
    <t>ТОВАРИСТВО З ОБМЕЖЕНОЮ ВІДПОВІДАЛЬНІСТЮ "ЕНЕРГОМЕРЕЖА"</t>
  </si>
  <si>
    <t>ТОВАРИСТВО З ОБМЕЖЕНОЮ ВІДПОВІДАЛЬНІСТЮ "ЕПІЦЕНТР К"</t>
  </si>
  <si>
    <t>ТОВАРИСТВО З ОБМЕЖЕНОЮ ВІДПОВІДАЛЬНІСТЮ "ЗТК ПЛЮС"</t>
  </si>
  <si>
    <t>ТОВАРИСТВО З ОБМЕЖЕНОЮ ВІДПОВІДАЛЬНІСТЮ "КЕЛВАР КОЛОР"</t>
  </si>
  <si>
    <t>ТОВАРИСТВО З ОБМЕЖЕНОЮ ВІДПОВІДАЛЬНІСТЮ "КОНУС-ВІДЕО"</t>
  </si>
  <si>
    <t>ТОВАРИСТВО З ОБМЕЖЕНОЮ ВІДПОВІДАЛЬНІСТЮ "КРІОГЕН-СЕРВІС"</t>
  </si>
  <si>
    <t>ТОВАРИСТВО З ОБМЕЖЕНОЮ ВІДПОВІДАЛЬНІСТЮ "КС ПРОФІТ"</t>
  </si>
  <si>
    <t>ТОВАРИСТВО З ОБМЕЖЕНОЮ ВІДПОВІДАЛЬНІСТЮ "ЛАЙТ-СЕРВІС"</t>
  </si>
  <si>
    <t>ТОВАРИСТВО З ОБМЕЖЕНОЮ ВІДПОВІДАЛЬНІСТЮ "МАШРЕМБУД"</t>
  </si>
  <si>
    <t>ТОВАРИСТВО З ОБМЕЖЕНОЮ ВІДПОВІДАЛЬНІСТЮ "МИКОЛАЇВСЬКИЙ ОБЛАСНИЙ ЦЕНТР ПРОФІЛАКТИЧНИХ ОГЛЯДІВ"</t>
  </si>
  <si>
    <t>ТОВАРИСТВО З ОБМЕЖЕНОЮ ВІДПОВІДАЛЬНІСТЮ "НИКОЛАЕВЭЛЕКТРО"</t>
  </si>
  <si>
    <t>ТОВАРИСТВО З ОБМЕЖЕНОЮ ВІДПОВІДАЛЬНІСТЮ "ОРІОН ГЛАСС ПЛЮС"</t>
  </si>
  <si>
    <t>ТОВАРИСТВО З ОБМЕЖЕНОЮ ВІДПОВІДАЛЬНІСТЮ "ПЕРВОМАЙСЬКИЙ МОЛОЧНОКОНСЕРВНИЙ КОМБІНАТ"</t>
  </si>
  <si>
    <t>ТОВАРИСТВО З ОБМЕЖЕНОЮ ВІДПОВІДАЛЬНІСТЮ "ПОЛІТЕХНОСЕРВІС"</t>
  </si>
  <si>
    <t>ТОВАРИСТВО З ОБМЕЖЕНОЮ ВІДПОВІДАЛЬНІСТЮ "ПРАЙД СІСТЕМ"</t>
  </si>
  <si>
    <t>ТОВАРИСТВО З ОБМЕЖЕНОЮ ВІДПОВІДАЛЬНІСТЮ "СІТІ КОМ СЕРВІС"</t>
  </si>
  <si>
    <t>ТОВАРИСТВО З ОБМЕЖЕНОЮ ВІДПОВІДАЛЬНІСТЮ "САНТАРЕКС"</t>
  </si>
  <si>
    <t>ТОВАРИСТВО З ОБМЕЖЕНОЮ ВІДПОВІДАЛЬНІСТЮ "СЕКУР ІНТЕГРАЦІЯ"</t>
  </si>
  <si>
    <t>ТОВАРИСТВО З ОБМЕЖЕНОЮ ВІДПОВІДАЛЬНІСТЮ "СЕКУР ГРУП"</t>
  </si>
  <si>
    <t>ТОВАРИСТВО З ОБМЕЖЕНОЮ ВІДПОВІДАЛЬНІСТЮ "СОНАР"</t>
  </si>
  <si>
    <t>ТОВАРИСТВО З ОБМЕЖЕНОЮ ВІДПОВІДАЛЬНІСТЮ "СОРБПОЛІМЕР-АНАЛІТИК"</t>
  </si>
  <si>
    <t>ТОВАРИСТВО З ОБМЕЖЕНОЮ ВІДПОВІДАЛЬНІСТЮ "СЦРП МИКОЛАЇВ"</t>
  </si>
  <si>
    <t>ТОВАРИСТВО З ОБМЕЖЕНОЮ ВІДПОВІДАЛЬНІСТЮ "ТД ТЕРМОФІТ"</t>
  </si>
  <si>
    <t>ТОВАРИСТВО З ОБМЕЖЕНОЮ ВІДПОВІДАЛЬНІСТЮ "ТД"ОДЕСЬКИЙ ЗАВОД КАБЕЛЬНОЇ АРМАТУРИ"</t>
  </si>
  <si>
    <t>ТОВАРИСТВО З ОБМЕЖЕНОЮ ВІДПОВІДАЛЬНІСТЮ "ТЕНДЕРНЕ АГЕНТСТВО РАДНИК"</t>
  </si>
  <si>
    <t>ТОВАРИСТВО З ОБМЕЖЕНОЮ ВІДПОВІДАЛЬНІСТЮ "ТОРГОВА ГРУПА "ПРОМТЕХСЕРВІС"</t>
  </si>
  <si>
    <t>ТОВАРИСТВО З ОБМЕЖЕНОЮ ВІДПОВІДАЛЬНІСТЮ "ТОРГОВИЙ ДІМ "ПК ІНДУСТРІЯ"</t>
  </si>
  <si>
    <t>ТОВАРИСТВО З ОБМЕЖЕНОЮ ВІДПОВІДАЛЬНІСТЮ "ТОРГОВИЙ ДІМ "ТЕХНОМИР"</t>
  </si>
  <si>
    <t>ТОВАРИСТВО З ОБМЕЖЕНОЮ ВІДПОВІДАЛЬНІСТЮ "ТОРГОВО-ПРОМИСЛОВА КОМПАНІЯ "ОМЕГА-АВТОПОСТАВКА"</t>
  </si>
  <si>
    <t>ТОВАРИСТВО З ОБМЕЖЕНОЮ ВІДПОВІДАЛЬНІСТЮ "ТПК ЮГМЕТ"</t>
  </si>
  <si>
    <t>ТОВАРИСТВО З ОБМЕЖЕНОЮ ВІДПОВІДАЛЬНІСТЮ "ТРАНСГОСП"</t>
  </si>
  <si>
    <t>ТОВАРИСТВО З ОБМЕЖЕНОЮ ВІДПОВІДАЛЬНІСТЮ "ТРАНСПОРТ ВУГІЛЛЯ"</t>
  </si>
  <si>
    <t>ТОВАРИСТВО З ОБМЕЖЕНОЮ ВІДПОВІДАЛЬНІСТЮ "Торгово-Виробнича Група Український папір"</t>
  </si>
  <si>
    <t>ТОВАРИСТВО З ОБМЕЖЕНОЮ ВІДПОВІДАЛЬНІСТЮ "УКРАЇНСЬКИЙ ЦЕНТР ПЕРЕПІДГОТОВКИ ТА НАВЧАННЯ"</t>
  </si>
  <si>
    <t>ТОВАРИСТВО З ОБМЕЖЕНОЮ ВІДПОВІДАЛЬНІСТЮ "УКРПЕТРОЛЦЕНТР"</t>
  </si>
  <si>
    <t>ТОВАРИСТВО З ОБМЕЖЕНОЮ ВІДПОВІДАЛЬНІСТЮ "ФОРМАТ ПОСЛУГА"</t>
  </si>
  <si>
    <t>ТОВАРИСТВО З ОБМЕЖЕНОЮ ВІДПОВІДАЛЬНІСТЮ "ЦЕНТР СЕРТИФІКАЦІЇ КЛЮЧІВ "УКРАЇНА"</t>
  </si>
  <si>
    <t>ТОВАРИСТВО З ОБМЕЖЕНОЮ ВІДПОВІДАЛЬНІСТЮ "ЮГСТАЛЬ"</t>
  </si>
  <si>
    <t>ТОВАРИСТВО З ОБМЕЖЕНОЮ ВІДПОВІДАЛЬНІСТЮ «ЕКСПЕРТУС ТЕК»</t>
  </si>
  <si>
    <t>ТОВАРИСТВО З ОБМЕЖЕНОЮ ВІДПОВІДАЛЬНІСТЮ ІНФОРМАЦІЙНИЙ ЦЕНТР "ОСВІТА - СЕРВІС"</t>
  </si>
  <si>
    <t>ТОВАРИСТВО З ОБМЕЖЕНОЮ ВІДПОВІДАЛЬНІСТЮ НАУКОВО-ВИРОБНИЧЕ ПІДПРИЄМСТВО "ТО-НАР"</t>
  </si>
  <si>
    <t>ТОВАРИСТВО З ОБМЕЖЕНОЮ ВІДПОВІДАЛЬНІСТЮ НАУКОВО-ВПРОВАДЖУВАЛЬНА ФІРМА "ГРАНАТО"</t>
  </si>
  <si>
    <t>ТРАНСПОРТ ВУГІЛЛЯ</t>
  </si>
  <si>
    <t>Телекомунікаційні послуги бізнес-мережі</t>
  </si>
  <si>
    <t>Технічне обслуговування  обладнання один раз на місяць, Лічильник банкнот «Банкнота-1»; Технічне обслуговування  обладнання один раз на місяць , Лічильник банкнот «Magner 75D» (СДМ); Технічне обслуговування  обладнання один раз на місяць, Лічильник банкнот «Optima HL 800»; Технічне обслуговування  обладнання один раз на місяць, Лічильник банкнот «Optima»; Технічне обслуговування  обладнання один раз на місяць, Лічильник монет «PRO CS-200А»</t>
  </si>
  <si>
    <t>Технічне обслуговування установки з доочистки води, послуги з хімічної регенерації мембранного елемента XLE 440, виїзд майстар, дезинфекція накопичувального бака, дезинфекція установки з доочищення води, заміна картриджу зі спіненого пропілену Ecosoft 4,5"x20", поповненням антискалантом-диспергентом Ecotec RO 2000, поповнення гіпохлоридом натрію</t>
  </si>
  <si>
    <t>Технічний нагляд за будівництвом об’єкту: «Поточний ремонт по заміні рейко-шпальної решітки на дільниці по вул. Потьомкінська від вул. Садова до вул. 3я Слобідська»</t>
  </si>
  <si>
    <t>Тип процедури</t>
  </si>
  <si>
    <t>Товариство з обмеженою відповідальністтю "АЛЮМІНІЙ-УКРАЇНА"</t>
  </si>
  <si>
    <t>Товариство з обмеженою відповідальністю "АМ МЕТАЛ ГРУП"</t>
  </si>
  <si>
    <t>Товариство з обмеженою відповідальністю "Колор С.І.М."</t>
  </si>
  <si>
    <t>Труба профільна ст3 80*80*3; Труба профільна ст3 40*40*2; Лист г/к ст3пс 5*1500*4000; Профнастіл ПК-10 0,4мм. RAL7016 L-5200мм загальна ширина -1200мм; Швелер №12; Швелер №16; Труба профільна ст20 160*80*5</t>
  </si>
  <si>
    <t>Туалетний папір «Обухів»</t>
  </si>
  <si>
    <t>Тумби</t>
  </si>
  <si>
    <t>УП00-15262</t>
  </si>
  <si>
    <t>УП00-15263</t>
  </si>
  <si>
    <t>УП00-17929</t>
  </si>
  <si>
    <t>УП00-17930</t>
  </si>
  <si>
    <t>УПЦ-594</t>
  </si>
  <si>
    <t>Узагальнена назва закупівлі</t>
  </si>
  <si>
    <t>ФІЗИЧНА ОСОБА-ПІДПРИЄМЕЦЬ  ЗЕЙКАН ГАННА ГЕОРГІЇВНА</t>
  </si>
  <si>
    <t>ФІЗИЧНА ОСОБА-ПІДПРИЄМЕЦЬ КАРПОВИЧ СЕРГІЙ ВАЛЕНТИНОВИЧ</t>
  </si>
  <si>
    <t>ФІЗИЧНА ОСОБА-ПІДПРИЄМЕЦЬ ПОЛІЩАК ДМИТРО БОГДАНОВИЧ</t>
  </si>
  <si>
    <t>ФІЛІЯ АКЦІОНЕРНОГО ТОВАРИСТВА "МИКОЛАЇВОБЛЕНЕРГО" М. МИКОЛАЄВА</t>
  </si>
  <si>
    <t>ФОП Єгорова С.М.</t>
  </si>
  <si>
    <t>ФОП БОДНЯ АНДРІЙ ВОЛОДИМИРОВИЧ</t>
  </si>
  <si>
    <t xml:space="preserve">ФОП Бабаєв Михайло Надирович </t>
  </si>
  <si>
    <t xml:space="preserve">ФОП Боброва Марина Петрівна </t>
  </si>
  <si>
    <t xml:space="preserve">ФОП Горбачевська Валентина Вікторівна </t>
  </si>
  <si>
    <t xml:space="preserve">ФОП Колокот Роман Григорович </t>
  </si>
  <si>
    <t>ФОП Короєв Олександр Олександрович</t>
  </si>
  <si>
    <t>ФОП ЛІЗОГУБОВ ПАВЛО МИКОЛАЙОВИЧ</t>
  </si>
  <si>
    <t>ФОП Лаута Кирило Олександрович</t>
  </si>
  <si>
    <t>ФОП Макогон Оксана Анатоліївна</t>
  </si>
  <si>
    <t xml:space="preserve">ФОП Макогон Оксана Анатоліївна </t>
  </si>
  <si>
    <t>ФОП Мамонов Є.М.</t>
  </si>
  <si>
    <t>ФОП НЕСТЕРЕНКО ОКСАНА АНАТОЛІЇВНА</t>
  </si>
  <si>
    <t>ФОП Янченко А.В.</t>
  </si>
  <si>
    <t>Фанера 21 мм</t>
  </si>
  <si>
    <t>Фарба автомобільна COLOMIX 202 Біла 0,8 л.; Фарба автомобільна COLOMIX 394 Темно-зелений 0,8 л.; Фарба автомобільна COLOMIX 425 Адриатика 0,8 л.; Фарба автомобільна COLOMIX 671 Світло-сіра 0,8 л.; Фарба автомобільна COLOMIX 1015 Червона 0,8 л.; Фарба автомобільна COLOMIX 601 Чорна 0,8 л.; Фарба автомобільна COLOMIX 1035 Жовта 0,8 л.; Фарба автомобільна COLOMIX 1115 Синя 0,8 л.; Фарба автомобільна алкідна синій глянець RAL 5015 0,9 л.; Ґрунт 992 сірий 1,1 кг.</t>
  </si>
  <si>
    <t xml:space="preserve">Фізична особа-підприємець Яцків Віталій Євгенович </t>
  </si>
  <si>
    <t>ЧОРНА ОЛЕНА ВОЛОДИМИРІВНА</t>
  </si>
  <si>
    <t>ШАПОВАЛОВ ОЛЕКСІЙ ГРИГОРОВИЧ</t>
  </si>
  <si>
    <t>ШК001102</t>
  </si>
  <si>
    <t>Шина 21.3-24(540/70R24) (530-610)ИЯВ-79У, 140А8, 10PR Росава; Шина 9.00 R20 144/142K (16PR)VI-616 (Ovation) з камерою та обідною стрічкою; Шина 8.25 R20 139/137L VI-702 (16PR) (Ovation) з камерою та обідною стрічкою; Шина 7.50-20 МИ-173 119/116J Росава з камерою без обідної стрічки; Шина 215/50 R17 95W XL VI-388 (Ovation); Шина 215/55 R17 94W PREMIORRI Solazo S Plus ; Шина 195/65 R15 91H PREMIORRI Solazo; Шина 11R22.5 148/145M (16PR) VI-702 M+S (Ovation); Шина 275/70R22.5 152/148J EAL535 (18PR) M+S; Шина 12.00R20 156/153K (20PR) V1708 (Ovation) з камерою та обідною стрічкою</t>
  </si>
  <si>
    <t>Шкворінь в зборі; Ущільнення шкворня; Амортизатор 14ТР вухо вухо; Амортизатор 15ТР вухо шток; Тяга поперечна рульова ЛАЗ; Наконечник рульової тяги (косий) лівий; Наконечник рульової тяги (косий) правий; Наконечник тяги (правий); Наконечник тяги (лівий); Болт кріплення переднього колеса; Гайка колісна; Болт 6-ти граний; Відбійник пневмобалону (передньої осі); Відбійник пневмобалону; Камера гальмівна передня; Балон пневматичний передній міст; Балон пневматичний задній міст; Кришка пневморесори задньої; Кришка пневморесори передньої; Поршень пневморесори передньої; Поршень пневморесори задньої; Супорт задній в зборі; Супорт передній в зборі; Камера гальмівна задня з енергоакумулятором ; Амортизатор заднього моста; Амортизатор переднього моста; Болт колісний М22х1,5; Вал карданний; Перемикач ШКОДА 14ТР; Ремкомплект супорту (повний); Подушка амортизатора; Колодка гальмівна (комплект); Рульовий механізм ZF; Клапан захисний 4-х контурний ; Клапан зливу конденсату; Кран регулятор положення кузова; Клапан прискорювальний; Ущільнення валу хвостовика; Втулка шкворнева 14ТР (Н70); Втулка шкворнева 14ТР (Н60); Втулка шатуна 45*37*37; Втулка шатуна 50*44*42; Шкворінь ШКОДА14ТР; Сайлентблок ШКОДА 14ТР; Пильник гальмівного механізму</t>
  </si>
  <si>
    <t>Шліф шкурка 200 мм. * 50м. Р40; Шліф шкурка 200 мм. * 50м. Р60; Шліф шкурка 200 мм. * 50м. Р80; Шліф шкурка 200 мм. * 50м. Р100; Шліф шкурка 200 мм. * 50м. Р180; Шліф шкурка водостійка 230*280 мм. Р600; Коло КЛТ1 125*22  P40; Коло КЛТ1 125*22  Р60; Коло КЛТ1 125*22  Р80; Коло відрізне по металу 41 14А 125*1.6*22 ; Коло відрізне по металу 41 14А 150*1.6*22; Коло відрізне по металу 41 14А 180*1.6*22; Коло відрізне по металу 41 14А 230*2,5*22; Коло відрізне по металу 41 14А 300*3,0*22; Коло зачисне 1/27 14А 125*6,3*22 ; Коло зачисне 1/27 14А 150*6*22 ; Коло зачисне 1/27 14А 180*6*22; Коло зачисне 1/27 14А 230*6*22; Коло шліфувальне ПП 250*20*32 64С F46; Коло шліфувальне ПП 250*40*76 64С F46; Коло шліфувальне ПП 300*40*127 64С F46; Коло шліфувальне ПП 400*40*127 64С F46; Коло шліфувальне ПП 400*40*203 64С F46; Коло алмазне 12А2-45 АС6 160/125 чашка 150*20*3*32</t>
  </si>
  <si>
    <t>ЩЕРБИНА СВІТЛАНА МИКОЛАЇВНА</t>
  </si>
  <si>
    <t>Щебінь фракції 20-40 мм</t>
  </si>
  <si>
    <t>ЮВ/352/22-в</t>
  </si>
  <si>
    <t>ЮВ/352/23-к</t>
  </si>
  <si>
    <t>ЮЗ/549/23-в</t>
  </si>
  <si>
    <t>ЮЗ/549/23-к</t>
  </si>
  <si>
    <t>ЮРКЕВИЧ ЛЮДМИЛА ГРИГОРІВНА</t>
  </si>
  <si>
    <t>ЯНИК ТЕТЯНА МИКОЛАЇВНА</t>
  </si>
  <si>
    <t>ЯЦИК ІГОР ВОЛОДИМИРОВИЧ</t>
  </si>
  <si>
    <t>Якщо ви маєте пропозицію чи побажання щодо покращення цього звіту, напишіть нам, будь ласка:</t>
  </si>
  <si>
    <t>автомобіль PEUGEOT Traveller BUSINESS або еквівалент</t>
  </si>
  <si>
    <t xml:space="preserve">адвокатські послуги </t>
  </si>
  <si>
    <t>активний</t>
  </si>
  <si>
    <t>акумулятори Bosch S5 Silver Plus 0 092 S50 150; акумулятори Inci Aku SuprA 190ah 1100A; акумулятори Varta Silver Dynamic Agm (H15) 105 ah 950F R+</t>
  </si>
  <si>
    <t>алюміній АД31 в чушках</t>
  </si>
  <si>
    <t>алюмінієва композитна панель 3мм. 5800*1500</t>
  </si>
  <si>
    <t>алюмінієвий профіль з противоковзуючою вставкою 50мм*3м без покриття; алюмінієвий профіль оздоблений кутовий універсальний 20мм*2,7м</t>
  </si>
  <si>
    <t>ацетилсаліцилова кислота табл. 500 мг № 10; валідол табл. 0,06 г № 10; йод р-н спирт. 5% 20 мл; каптопрес-дарниця табл. № 20; корвалмент капс. 100 мг № 80; корвалол краплі 25 мл; лоперамід табл. 2 мг № 20; пантенол спрей 136 г; перекису водню р-н 3% 100 мл полімерний фл; спазмалгон табл. №50; цитрамон-В табл. №10</t>
  </si>
  <si>
    <t>багатофункціональний пристрій CANON MF453DW (змінний картридж Canon 057, Canon 057H) або еквівалент</t>
  </si>
  <si>
    <t>банери «дорожні знаки»</t>
  </si>
  <si>
    <t>бинт перев'язочний 5м*10см н/ст., бинт перев'язочний 7м*14см н/ст., вата 50 г н/ст., палички вушні, пластир 1,9см*7,2см ткан. 2В №10</t>
  </si>
  <si>
    <t>бойлер Gorenje GBF 150</t>
  </si>
  <si>
    <t>бойлери Goreuje GBF 150, бойлер 50л. сухий тен 2,0 кВт, бойлер GBF 100T/V9</t>
  </si>
  <si>
    <t>брезент, ремінь брезентовий</t>
  </si>
  <si>
    <t>вано хлорне, сода кальцинована</t>
  </si>
  <si>
    <t>вапно хлорне, сода кальцинована</t>
  </si>
  <si>
    <t>вертикальні жалюзі</t>
  </si>
  <si>
    <t>випробування дослідного зразка капітально відремонтованого та переобладнаного трамвайного вагона типу КТМ</t>
  </si>
  <si>
    <t>встановлення станції дозування продуктивністю 0,1-6,0 л/год</t>
  </si>
  <si>
    <t>встановлення, монтаж, демонтаж та обслуговування систем відеоспостереження в швидкоспоруджувальних "Тимчасових укриттях" МАФ</t>
  </si>
  <si>
    <t>вугілля кам'яне ДГ 13-50</t>
  </si>
  <si>
    <t>віброплита Masa ta MS90-4, 83 кг., 30 см., 13 кН, 350*500 мм. Honda 5.5к.с.</t>
  </si>
  <si>
    <t>відеокамера Hikvision DS-2CE56D8T-ITMF, відеокамера цифрова Hikvision DS-2CD1323G2-IUF</t>
  </si>
  <si>
    <t>відеореєстратор Hikvision DS-7108HQHI-K1 (C) (S)</t>
  </si>
  <si>
    <t>вікна ПВХ</t>
  </si>
  <si>
    <t>газ вуглеводний скраплений 2711139700</t>
  </si>
  <si>
    <t>губки поролонові, серветки з мікрофібри, ганчірки для підлоги, запаска на швабру</t>
  </si>
  <si>
    <t>дошка 30*100*6 м., дошка 50*150*4,5 м</t>
  </si>
  <si>
    <t>е-журнал "Радник у сфері державних закупівель" (спецвипуск); журнал "Радник у сфері державних закупівель"</t>
  </si>
  <si>
    <t>електрична енергія</t>
  </si>
  <si>
    <t>електрична енергія (тис. кВт/год)</t>
  </si>
  <si>
    <t>журнали</t>
  </si>
  <si>
    <t>закритий</t>
  </si>
  <si>
    <t>заміна засобу обліку на рівні напруги 0,22 кВ за ініціативою замовника</t>
  </si>
  <si>
    <t>заміна засобу обліку на рівні напруги 0,22 кВт за ініціативою Замовника</t>
  </si>
  <si>
    <t>заправка картриджів,відновлення картриджів, технічне обслуговування та ремонт струйних принтерів, технічне обслуговування та ремонт лазерних принтерів, технічне обслуговування та ремонт БФП А4, технічне обслуговування та ремонт БФП А3</t>
  </si>
  <si>
    <t>знаки «Вогнегасник»</t>
  </si>
  <si>
    <t>зошити, ручки, стрижні, файл-конверти, калькулятори, стиплери, олівці, маркери, ножиці, гумки, точили, папки, стрічки клейкі, клей ПВА, клей-олівці, стрічки коригуючи, коректори, швидкозшивачі, лінійки, папір для нотаток, закладки, грифелі</t>
  </si>
  <si>
    <t>з’єднувальні та кінцеві термоусаджувальні муфти</t>
  </si>
  <si>
    <t>картриджі зі спіненого поліпропілену Ecosoft 4,5*20</t>
  </si>
  <si>
    <t>квитково-облікові листи, штрафні квитанції, контрольні довідки про прийом грошей, відомості обліку, накладні, контрольні листи роботи контролерів, картки обліку, звіти, відомості виконання, табелі робочого часу, подорожні листи, перепустки, авансові звіти, прибуткові касові ордери, видаткові касові ордери</t>
  </si>
  <si>
    <t>клавіатури OfficePro SK360 Black, комп'ютерні миши GENIUS NX-7015 Black</t>
  </si>
  <si>
    <t>книги обліку, журнали, касові книги</t>
  </si>
  <si>
    <t>комплект дверей вхідних до трамваю КТМ-5 МЗ-ВП</t>
  </si>
  <si>
    <t>комплект обладнання для модернізації тролейбуса ЛАЗ Е-183 з автономним ходом до 20 км</t>
  </si>
  <si>
    <t>кріплення для вогнегасників ВП-2 та ВП-3</t>
  </si>
  <si>
    <t>кріплення до вогнегасників ВП-2</t>
  </si>
  <si>
    <t>курси «Військовий облік на підприємствах, в установах та організаціях, державних органах та органах місцевого самоврядування»</t>
  </si>
  <si>
    <t>лист латунний Л63 4*1000*2000мм м'який 740920000; Пруток бронзовий БРАЖ9-4 ф20мм 7407290000; Пруток бронзовий БРАЖ9-4 ф40мм 7407290000; Пруток бронзовий БРАЖ9-4 ф50мм 7407290000; Труба латунна Л63 Ф70*10*3000мм ГКРХХ</t>
  </si>
  <si>
    <t>листи латунні, листи мідні, стрічки мідні, прутки бронзові</t>
  </si>
  <si>
    <t>листівки (інформація для пасажирів;вартість проїзду)</t>
  </si>
  <si>
    <t>ліхтарі переносні</t>
  </si>
  <si>
    <t>манометри</t>
  </si>
  <si>
    <t>метрологічні послуги</t>
  </si>
  <si>
    <t>мило господарське 72%, мило рідке</t>
  </si>
  <si>
    <t>миючий засіб для посуду, білизна, чистячий засіб для посуду, миючий засіб для підлоги, миючий засіб для унітазу, миючий засіб для скла, порошок пральний, паста "Авто майстер"</t>
  </si>
  <si>
    <t>миючий засіб для посуду, білизна, чистячий засіб для посуду, миючий засіб для підлоги, миючий засіб для унітазу, миючий засіб для скла, порошок пральний, паста «Авто майстер»</t>
  </si>
  <si>
    <t>моноблоки ARTLINE Business M61v07</t>
  </si>
  <si>
    <t>монтажні затискачі МКЗ-1</t>
  </si>
  <si>
    <t>монітор 10 дюймів Carex HV-100 IPS, монітор 2E F2422B (2E-F2422B-01.UA</t>
  </si>
  <si>
    <t>мотокоса Dnipro-M 52</t>
  </si>
  <si>
    <t>мотокоса Dnipro-M 52; бензопила ланцюгова Dnipro-M DSG-62H</t>
  </si>
  <si>
    <t>наклейки рекламні</t>
  </si>
  <si>
    <t>наліпки оракал з УФ друком 80*140мм</t>
  </si>
  <si>
    <t>оббивальна тканина в рулонах</t>
  </si>
  <si>
    <t>пакети для сміття</t>
  </si>
  <si>
    <t>папір А4 Bright white multipurpose office paper 80г/м² 500 арк.</t>
  </si>
  <si>
    <t>пневмопістолет до силікону 500-600 мл. AirPro</t>
  </si>
  <si>
    <t>позачергова технічна перевірка правильності роботи засобу обліку</t>
  </si>
  <si>
    <t>позачергова технічна перевірка правильності роботи засоу обліку, встановлення 3-ф. лічильника електричної енергії, заміна 3-ф. лічильника електричної енергі</t>
  </si>
  <si>
    <t>поролон ST 2535 2*1.2*10; вінілісшкіра</t>
  </si>
  <si>
    <t>поролон ST 2535 2*1.2*10; поролон ST 2535 2*1.2*30; синтепон; вінілісшкіра; нитки 40; шнур капроновий ф3мм</t>
  </si>
  <si>
    <t>поролон; синтепон, вінілісшкіра</t>
  </si>
  <si>
    <t>поручні підвісні</t>
  </si>
  <si>
    <t>послуги з атестації робочих місць за умовами праці для підтвердження права на пільги та компенсації за шкідливі та важкі умови праці</t>
  </si>
  <si>
    <t>послуги з вивезення твердих побутових відходів</t>
  </si>
  <si>
    <t>послуги з виготовлення відеосюжетів в цифровому форматі в ефірі КП ТРК "МАРТ", послуги з виготовлення програми "ДІАЛОГ" в цифровому форматі в ефірі КП ТРК "МАРТ", послуги з виготовлення та телевізійного показу складного рекламного ролику в цифровому форматі в ефірі КП ТРК "МАРТ"</t>
  </si>
  <si>
    <t>послуги з друку наклейок на тролейбуси "Символіка міста Миколаєва"</t>
  </si>
  <si>
    <t>послуги з оформлення документів про освіту</t>
  </si>
  <si>
    <t>послуги з оцінки майна: автотранспортні засоби</t>
  </si>
  <si>
    <t>послуги з підтримання доступу до ЄДЕБО</t>
  </si>
  <si>
    <t>послуги з розміщення рекламних матеріалів Замовника в ефірі Радіостанції</t>
  </si>
  <si>
    <t>послуги з розробки дизайн-проекту інформаційних наліпок</t>
  </si>
  <si>
    <t>послуги з технічного огляду балонів</t>
  </si>
  <si>
    <t>послуги письмового перекладу з української мови на білоруську</t>
  </si>
  <si>
    <t>послуги по складанню двох паспортів на свердловини КП ММР «Миколаївелектротранс»</t>
  </si>
  <si>
    <t>послуги із санітарно-гігієнічної обробки приміщень</t>
  </si>
  <si>
    <t>пристрій для проколу кабелю ППК-10</t>
  </si>
  <si>
    <t>проведення лабораторних досліджень (випробувань) питної води</t>
  </si>
  <si>
    <t>провід ПСДКТЛ 1,6*4,7</t>
  </si>
  <si>
    <t>провід мідний для контактної мережі МФ-85</t>
  </si>
  <si>
    <t>пуско-зарядний пристрій YATO: акумулятор 12/24 В, 50-340 А, 20-700 Ah, 230 В</t>
  </si>
  <si>
    <t>підвищення кваліфікації за професією тракторист-машиніст сільськогосподарського виробництва (категорія А2)</t>
  </si>
  <si>
    <t>підйомник автомобільний 2-х стійковий 4т 220В TLT-240SC-220 LAUNCH або еквівалент</t>
  </si>
  <si>
    <t>разові квитки для проїзду у трамваї та тролейбусі (учнівські)</t>
  </si>
  <si>
    <t>ремонт стартера на дизель генератор ESTAR F175 SA (ID 7788557)</t>
  </si>
  <si>
    <t>рукава високого тиску, фітинги, втулки, штуцери, адаптери</t>
  </si>
  <si>
    <t>свідоцтво про присвоєння РК, додаток до СРК</t>
  </si>
  <si>
    <t>стабілізатор LogicPower LP-1750RD</t>
  </si>
  <si>
    <t>столи, стільниці</t>
  </si>
  <si>
    <t>стільці на рамі ISO</t>
  </si>
  <si>
    <t>стільці учнівські, столи учнівські, стіл викладача однотумбовий</t>
  </si>
  <si>
    <t>судова економічна експертиза по адміністративній справі № 400/6470/23</t>
  </si>
  <si>
    <t xml:space="preserve">сіль для домінералізації тип 1Б (1 кг.)  </t>
  </si>
  <si>
    <t>таблички з композиту та УФ друком 450мм*1550мм, банерна сітка з друком та люверсами по периметру 3000мм*9200мм</t>
  </si>
  <si>
    <t>таблички, наліпки</t>
  </si>
  <si>
    <t>тачки 1-колесні оцинковані пінополіуретанові 90л/180кл, ИЦ</t>
  </si>
  <si>
    <t>текстоліт, стрижень, склотекстолітовий, стрижень текстолітовий</t>
  </si>
  <si>
    <t>технічне обслуговування кондиціонерів</t>
  </si>
  <si>
    <t>тиристори, діоди, резистори</t>
  </si>
  <si>
    <t>тканина оббивальна в рулонах А Вікно сірий. Ш 1,8</t>
  </si>
  <si>
    <t>трубки, гайки накидні під трубку, втулки, кільця, з'єднання, фітинги, трійники під трубку, хомути рукавні</t>
  </si>
  <si>
    <t>ущільнювач 605.11.68.288</t>
  </si>
  <si>
    <t>ущільнювачі, рукава, паси</t>
  </si>
  <si>
    <t>шафа електротехнічна 400*400*200</t>
  </si>
  <si>
    <t>швабри з віджимом, швабри полотер, мітли капронові</t>
  </si>
  <si>
    <t>шнури п/пр</t>
  </si>
  <si>
    <t>шпаклівка CS System “UNI”, бежева (1,8 кг); шпаклівка CS System “GLASS”, зелена (1,8 кг)</t>
  </si>
  <si>
    <t>єВидання Кадровик-01</t>
  </si>
  <si>
    <t>іміджевий буклет КП ММР "Миколаївелектротранс" з календарем</t>
  </si>
  <si>
    <t>інформаційна транспортна система</t>
  </si>
  <si>
    <t>інформаційно-консультативні послуги з супроводження ПЗ "M.E.Doc-Звітність", ПЗ "M.E.Doc-облік ПДВ", полсуги з налаштування поштового з'єднання, послуги з системного супроводу Програми відповідно до обраного Замовнком пакету</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</si>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</sst>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4" fontId="1" fillId="0" borderId="0" xfId="0" applyNumberFormat="1" applyFont="1"/>
    <xf numFmtId="165"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y.zakupivli.pro/remote/dispatcher/state_contracting_view/17131630" TargetMode="External"/><Relationship Id="rId21" Type="http://schemas.openxmlformats.org/officeDocument/2006/relationships/hyperlink" Target="https://my.zakupivli.pro/remote/dispatcher/state_contracting_view/15558066" TargetMode="External"/><Relationship Id="rId324" Type="http://schemas.openxmlformats.org/officeDocument/2006/relationships/hyperlink" Target="https://my.zakupivli.pro/remote/dispatcher/state_purchase_view/48047130" TargetMode="External"/><Relationship Id="rId531" Type="http://schemas.openxmlformats.org/officeDocument/2006/relationships/hyperlink" Target="https://my.zakupivli.pro/remote/dispatcher/state_contracting_view/16815978" TargetMode="External"/><Relationship Id="rId629" Type="http://schemas.openxmlformats.org/officeDocument/2006/relationships/hyperlink" Target="https://my.zakupivli.pro/remote/dispatcher/state_contracting_view/17950117" TargetMode="External"/><Relationship Id="rId170" Type="http://schemas.openxmlformats.org/officeDocument/2006/relationships/hyperlink" Target="https://my.zakupivli.pro/remote/dispatcher/state_purchase_view/43253300" TargetMode="External"/><Relationship Id="rId268" Type="http://schemas.openxmlformats.org/officeDocument/2006/relationships/hyperlink" Target="https://my.zakupivli.pro/remote/dispatcher/state_purchase_view/41743196" TargetMode="External"/><Relationship Id="rId475" Type="http://schemas.openxmlformats.org/officeDocument/2006/relationships/hyperlink" Target="https://my.zakupivli.pro/remote/dispatcher/state_contracting_view/16109914" TargetMode="External"/><Relationship Id="rId32" Type="http://schemas.openxmlformats.org/officeDocument/2006/relationships/hyperlink" Target="https://my.zakupivli.pro/remote/dispatcher/state_purchase_view/40078229" TargetMode="External"/><Relationship Id="rId128" Type="http://schemas.openxmlformats.org/officeDocument/2006/relationships/hyperlink" Target="https://my.zakupivli.pro/remote/dispatcher/state_purchase_view/43977274" TargetMode="External"/><Relationship Id="rId335" Type="http://schemas.openxmlformats.org/officeDocument/2006/relationships/hyperlink" Target="https://my.zakupivli.pro/remote/dispatcher/state_contracting_view/17624513" TargetMode="External"/><Relationship Id="rId542" Type="http://schemas.openxmlformats.org/officeDocument/2006/relationships/hyperlink" Target="https://my.zakupivli.pro/remote/dispatcher/state_purchase_view/45353314" TargetMode="External"/><Relationship Id="rId181" Type="http://schemas.openxmlformats.org/officeDocument/2006/relationships/hyperlink" Target="https://my.zakupivli.pro/remote/dispatcher/state_contracting_view/17468942" TargetMode="External"/><Relationship Id="rId402" Type="http://schemas.openxmlformats.org/officeDocument/2006/relationships/hyperlink" Target="https://my.zakupivli.pro/remote/dispatcher/state_purchase_view/42233495" TargetMode="External"/><Relationship Id="rId279" Type="http://schemas.openxmlformats.org/officeDocument/2006/relationships/hyperlink" Target="https://my.zakupivli.pro/remote/dispatcher/state_contracting_view/16312144" TargetMode="External"/><Relationship Id="rId486" Type="http://schemas.openxmlformats.org/officeDocument/2006/relationships/hyperlink" Target="https://my.zakupivli.pro/remote/dispatcher/state_purchase_view/40149498" TargetMode="External"/><Relationship Id="rId43" Type="http://schemas.openxmlformats.org/officeDocument/2006/relationships/hyperlink" Target="https://my.zakupivli.pro/remote/dispatcher/state_contracting_view/16847196" TargetMode="External"/><Relationship Id="rId139" Type="http://schemas.openxmlformats.org/officeDocument/2006/relationships/hyperlink" Target="https://my.zakupivli.pro/remote/dispatcher/state_contracting_view/15561120" TargetMode="External"/><Relationship Id="rId346" Type="http://schemas.openxmlformats.org/officeDocument/2006/relationships/hyperlink" Target="https://my.zakupivli.pro/remote/dispatcher/state_purchase_view/42349065" TargetMode="External"/><Relationship Id="rId553" Type="http://schemas.openxmlformats.org/officeDocument/2006/relationships/hyperlink" Target="https://my.zakupivli.pro/remote/dispatcher/state_contracting_view/16023014" TargetMode="External"/><Relationship Id="rId192" Type="http://schemas.openxmlformats.org/officeDocument/2006/relationships/hyperlink" Target="https://my.zakupivli.pro/remote/dispatcher/state_purchase_view/41471108" TargetMode="External"/><Relationship Id="rId206" Type="http://schemas.openxmlformats.org/officeDocument/2006/relationships/hyperlink" Target="https://my.zakupivli.pro/remote/dispatcher/state_purchase_view/44409623" TargetMode="External"/><Relationship Id="rId413" Type="http://schemas.openxmlformats.org/officeDocument/2006/relationships/hyperlink" Target="https://my.zakupivli.pro/remote/dispatcher/state_contracting_view/17132420" TargetMode="External"/><Relationship Id="rId497" Type="http://schemas.openxmlformats.org/officeDocument/2006/relationships/hyperlink" Target="https://my.zakupivli.pro/remote/dispatcher/state_contracting_view/15838628" TargetMode="External"/><Relationship Id="rId620" Type="http://schemas.openxmlformats.org/officeDocument/2006/relationships/hyperlink" Target="https://my.zakupivli.pro/remote/dispatcher/state_purchase_view/46811883" TargetMode="External"/><Relationship Id="rId357" Type="http://schemas.openxmlformats.org/officeDocument/2006/relationships/hyperlink" Target="https://my.zakupivli.pro/remote/dispatcher/state_contracting_view/16956129" TargetMode="External"/><Relationship Id="rId54" Type="http://schemas.openxmlformats.org/officeDocument/2006/relationships/hyperlink" Target="https://my.zakupivli.pro/remote/dispatcher/state_purchase_view/46626500" TargetMode="External"/><Relationship Id="rId217" Type="http://schemas.openxmlformats.org/officeDocument/2006/relationships/hyperlink" Target="https://my.zakupivli.pro/remote/dispatcher/state_contracting_view/18564150" TargetMode="External"/><Relationship Id="rId564" Type="http://schemas.openxmlformats.org/officeDocument/2006/relationships/hyperlink" Target="https://my.zakupivli.pro/remote/dispatcher/state_purchase_view/40053175" TargetMode="External"/><Relationship Id="rId424" Type="http://schemas.openxmlformats.org/officeDocument/2006/relationships/hyperlink" Target="https://my.zakupivli.pro/remote/dispatcher/state_purchase_view/44992328" TargetMode="External"/><Relationship Id="rId631" Type="http://schemas.openxmlformats.org/officeDocument/2006/relationships/hyperlink" Target="https://my.zakupivli.pro/remote/dispatcher/state_contracting_view/18784447" TargetMode="External"/><Relationship Id="rId270" Type="http://schemas.openxmlformats.org/officeDocument/2006/relationships/hyperlink" Target="https://my.zakupivli.pro/remote/dispatcher/state_purchase_view/43497481" TargetMode="External"/><Relationship Id="rId65" Type="http://schemas.openxmlformats.org/officeDocument/2006/relationships/hyperlink" Target="https://my.zakupivli.pro/remote/dispatcher/state_contracting_view/16750125" TargetMode="External"/><Relationship Id="rId130" Type="http://schemas.openxmlformats.org/officeDocument/2006/relationships/hyperlink" Target="https://my.zakupivli.pro/remote/dispatcher/state_purchase_view/40017105" TargetMode="External"/><Relationship Id="rId368" Type="http://schemas.openxmlformats.org/officeDocument/2006/relationships/hyperlink" Target="https://my.zakupivli.pro/remote/dispatcher/state_purchase_view/42440318" TargetMode="External"/><Relationship Id="rId575" Type="http://schemas.openxmlformats.org/officeDocument/2006/relationships/hyperlink" Target="https://my.zakupivli.pro/remote/dispatcher/state_contracting_view/17271596" TargetMode="External"/><Relationship Id="rId228" Type="http://schemas.openxmlformats.org/officeDocument/2006/relationships/hyperlink" Target="https://my.zakupivli.pro/remote/dispatcher/state_purchase_view/46188557" TargetMode="External"/><Relationship Id="rId435" Type="http://schemas.openxmlformats.org/officeDocument/2006/relationships/hyperlink" Target="https://my.zakupivli.pro/remote/dispatcher/state_contracting_view/18055595" TargetMode="External"/><Relationship Id="rId642" Type="http://schemas.openxmlformats.org/officeDocument/2006/relationships/hyperlink" Target="https://my.zakupivli.pro/remote/dispatcher/state_purchase_view/39926502" TargetMode="External"/><Relationship Id="rId281" Type="http://schemas.openxmlformats.org/officeDocument/2006/relationships/hyperlink" Target="https://my.zakupivli.pro/remote/dispatcher/state_contracting_view/16636775" TargetMode="External"/><Relationship Id="rId502" Type="http://schemas.openxmlformats.org/officeDocument/2006/relationships/hyperlink" Target="https://my.zakupivli.pro/remote/dispatcher/state_purchase_view/47012592" TargetMode="External"/><Relationship Id="rId76" Type="http://schemas.openxmlformats.org/officeDocument/2006/relationships/hyperlink" Target="https://my.zakupivli.pro/remote/dispatcher/state_purchase_view/47783233" TargetMode="External"/><Relationship Id="rId141" Type="http://schemas.openxmlformats.org/officeDocument/2006/relationships/hyperlink" Target="https://my.zakupivli.pro/remote/dispatcher/state_contracting_view/18328183" TargetMode="External"/><Relationship Id="rId379" Type="http://schemas.openxmlformats.org/officeDocument/2006/relationships/hyperlink" Target="https://my.zakupivli.pro/remote/dispatcher/state_contracting_view/15204200" TargetMode="External"/><Relationship Id="rId586" Type="http://schemas.openxmlformats.org/officeDocument/2006/relationships/hyperlink" Target="https://my.zakupivli.pro/remote/dispatcher/state_purchase_view/45602510" TargetMode="External"/><Relationship Id="rId7" Type="http://schemas.openxmlformats.org/officeDocument/2006/relationships/hyperlink" Target="https://my.zakupivli.pro/remote/dispatcher/state_contracting_view/15379562" TargetMode="External"/><Relationship Id="rId239" Type="http://schemas.openxmlformats.org/officeDocument/2006/relationships/hyperlink" Target="https://my.zakupivli.pro/remote/dispatcher/state_contracting_view/15646101" TargetMode="External"/><Relationship Id="rId446" Type="http://schemas.openxmlformats.org/officeDocument/2006/relationships/hyperlink" Target="https://my.zakupivli.pro/remote/dispatcher/state_purchase_view/43111214" TargetMode="External"/><Relationship Id="rId292" Type="http://schemas.openxmlformats.org/officeDocument/2006/relationships/hyperlink" Target="https://my.zakupivli.pro/remote/dispatcher/state_purchase_view/40607435" TargetMode="External"/><Relationship Id="rId306" Type="http://schemas.openxmlformats.org/officeDocument/2006/relationships/hyperlink" Target="https://my.zakupivli.pro/remote/dispatcher/state_purchase_view/45147324" TargetMode="External"/><Relationship Id="rId87" Type="http://schemas.openxmlformats.org/officeDocument/2006/relationships/hyperlink" Target="https://my.zakupivli.pro/remote/dispatcher/state_contracting_view/17141096" TargetMode="External"/><Relationship Id="rId513" Type="http://schemas.openxmlformats.org/officeDocument/2006/relationships/hyperlink" Target="https://my.zakupivli.pro/remote/dispatcher/state_contracting_view/17560098" TargetMode="External"/><Relationship Id="rId597" Type="http://schemas.openxmlformats.org/officeDocument/2006/relationships/hyperlink" Target="https://my.zakupivli.pro/remote/dispatcher/state_contracting_view/17345653" TargetMode="External"/><Relationship Id="rId152" Type="http://schemas.openxmlformats.org/officeDocument/2006/relationships/hyperlink" Target="https://my.zakupivli.pro/remote/dispatcher/state_purchase_view/41191733" TargetMode="External"/><Relationship Id="rId457" Type="http://schemas.openxmlformats.org/officeDocument/2006/relationships/hyperlink" Target="https://my.zakupivli.pro/remote/dispatcher/state_contracting_view/16329053" TargetMode="External"/><Relationship Id="rId14" Type="http://schemas.openxmlformats.org/officeDocument/2006/relationships/hyperlink" Target="https://my.zakupivli.pro/remote/dispatcher/state_purchase_view/40968937" TargetMode="External"/><Relationship Id="rId317" Type="http://schemas.openxmlformats.org/officeDocument/2006/relationships/hyperlink" Target="https://my.zakupivli.pro/remote/dispatcher/state_contracting_view/18158826" TargetMode="External"/><Relationship Id="rId524" Type="http://schemas.openxmlformats.org/officeDocument/2006/relationships/hyperlink" Target="https://my.zakupivli.pro/remote/dispatcher/state_purchase_view/43800954" TargetMode="External"/><Relationship Id="rId98" Type="http://schemas.openxmlformats.org/officeDocument/2006/relationships/hyperlink" Target="https://my.zakupivli.pro/remote/dispatcher/state_purchase_view/44536991" TargetMode="External"/><Relationship Id="rId163" Type="http://schemas.openxmlformats.org/officeDocument/2006/relationships/hyperlink" Target="https://my.zakupivli.pro/remote/dispatcher/state_contracting_view/17794763" TargetMode="External"/><Relationship Id="rId370" Type="http://schemas.openxmlformats.org/officeDocument/2006/relationships/hyperlink" Target="https://my.zakupivli.pro/remote/dispatcher/state_purchase_view/43962737" TargetMode="External"/><Relationship Id="rId230" Type="http://schemas.openxmlformats.org/officeDocument/2006/relationships/hyperlink" Target="https://my.zakupivli.pro/remote/dispatcher/state_purchase_view/47164225" TargetMode="External"/><Relationship Id="rId468" Type="http://schemas.openxmlformats.org/officeDocument/2006/relationships/hyperlink" Target="https://my.zakupivli.pro/remote/dispatcher/state_purchase_view/41896540" TargetMode="External"/><Relationship Id="rId25" Type="http://schemas.openxmlformats.org/officeDocument/2006/relationships/hyperlink" Target="https://my.zakupivli.pro/remote/dispatcher/state_contracting_view/15215761" TargetMode="External"/><Relationship Id="rId328" Type="http://schemas.openxmlformats.org/officeDocument/2006/relationships/hyperlink" Target="https://my.zakupivli.pro/remote/dispatcher/state_purchase_view/45307696" TargetMode="External"/><Relationship Id="rId535" Type="http://schemas.openxmlformats.org/officeDocument/2006/relationships/hyperlink" Target="https://my.zakupivli.pro/remote/dispatcher/state_contracting_view/18166976" TargetMode="External"/><Relationship Id="rId174" Type="http://schemas.openxmlformats.org/officeDocument/2006/relationships/hyperlink" Target="https://my.zakupivli.pro/remote/dispatcher/state_purchase_view/46252056" TargetMode="External"/><Relationship Id="rId381" Type="http://schemas.openxmlformats.org/officeDocument/2006/relationships/hyperlink" Target="https://my.zakupivli.pro/remote/dispatcher/state_contracting_view/15240706" TargetMode="External"/><Relationship Id="rId602" Type="http://schemas.openxmlformats.org/officeDocument/2006/relationships/hyperlink" Target="https://my.zakupivli.pro/remote/dispatcher/state_purchase_view/45842880" TargetMode="External"/><Relationship Id="rId241" Type="http://schemas.openxmlformats.org/officeDocument/2006/relationships/hyperlink" Target="https://my.zakupivli.pro/remote/dispatcher/state_contracting_view/15624155" TargetMode="External"/><Relationship Id="rId479" Type="http://schemas.openxmlformats.org/officeDocument/2006/relationships/hyperlink" Target="https://my.zakupivli.pro/remote/dispatcher/state_contracting_view/15452196" TargetMode="External"/><Relationship Id="rId36" Type="http://schemas.openxmlformats.org/officeDocument/2006/relationships/hyperlink" Target="https://my.zakupivli.pro/remote/dispatcher/state_purchase_view/44203910" TargetMode="External"/><Relationship Id="rId339" Type="http://schemas.openxmlformats.org/officeDocument/2006/relationships/hyperlink" Target="https://my.zakupivli.pro/remote/dispatcher/state_contracting_view/16799288" TargetMode="External"/><Relationship Id="rId546" Type="http://schemas.openxmlformats.org/officeDocument/2006/relationships/hyperlink" Target="https://my.zakupivli.pro/remote/dispatcher/state_purchase_view/46362801" TargetMode="External"/><Relationship Id="rId101" Type="http://schemas.openxmlformats.org/officeDocument/2006/relationships/hyperlink" Target="https://my.zakupivli.pro/remote/dispatcher/state_contracting_view/18165219" TargetMode="External"/><Relationship Id="rId185" Type="http://schemas.openxmlformats.org/officeDocument/2006/relationships/hyperlink" Target="https://my.zakupivli.pro/remote/dispatcher/state_contracting_view/17601667" TargetMode="External"/><Relationship Id="rId406" Type="http://schemas.openxmlformats.org/officeDocument/2006/relationships/hyperlink" Target="https://my.zakupivli.pro/remote/dispatcher/state_purchase_view/44664897" TargetMode="External"/><Relationship Id="rId392" Type="http://schemas.openxmlformats.org/officeDocument/2006/relationships/hyperlink" Target="https://my.zakupivli.pro/remote/dispatcher/state_purchase_view/45833375" TargetMode="External"/><Relationship Id="rId613" Type="http://schemas.openxmlformats.org/officeDocument/2006/relationships/hyperlink" Target="https://my.zakupivli.pro/remote/dispatcher/state_contracting_view/18634287" TargetMode="External"/><Relationship Id="rId252" Type="http://schemas.openxmlformats.org/officeDocument/2006/relationships/hyperlink" Target="https://my.zakupivli.pro/remote/dispatcher/state_purchase_view/44708762" TargetMode="External"/><Relationship Id="rId47" Type="http://schemas.openxmlformats.org/officeDocument/2006/relationships/hyperlink" Target="https://my.zakupivli.pro/remote/dispatcher/state_contracting_view/16389884" TargetMode="External"/><Relationship Id="rId89" Type="http://schemas.openxmlformats.org/officeDocument/2006/relationships/hyperlink" Target="https://my.zakupivli.pro/remote/dispatcher/state_contracting_view/15969673" TargetMode="External"/><Relationship Id="rId112" Type="http://schemas.openxmlformats.org/officeDocument/2006/relationships/hyperlink" Target="https://my.zakupivli.pro/remote/dispatcher/state_purchase_view/42596632" TargetMode="External"/><Relationship Id="rId154" Type="http://schemas.openxmlformats.org/officeDocument/2006/relationships/hyperlink" Target="https://my.zakupivli.pro/remote/dispatcher/state_purchase_view/41220347" TargetMode="External"/><Relationship Id="rId361" Type="http://schemas.openxmlformats.org/officeDocument/2006/relationships/hyperlink" Target="https://my.zakupivli.pro/remote/dispatcher/state_contracting_view/16991987" TargetMode="External"/><Relationship Id="rId557" Type="http://schemas.openxmlformats.org/officeDocument/2006/relationships/hyperlink" Target="https://my.zakupivli.pro/remote/dispatcher/state_contracting_view/15454873" TargetMode="External"/><Relationship Id="rId599" Type="http://schemas.openxmlformats.org/officeDocument/2006/relationships/hyperlink" Target="https://my.zakupivli.pro/remote/dispatcher/state_contracting_view/17666563" TargetMode="External"/><Relationship Id="rId196" Type="http://schemas.openxmlformats.org/officeDocument/2006/relationships/hyperlink" Target="https://my.zakupivli.pro/remote/dispatcher/state_purchase_view/41842175" TargetMode="External"/><Relationship Id="rId417" Type="http://schemas.openxmlformats.org/officeDocument/2006/relationships/hyperlink" Target="https://my.zakupivli.pro/remote/dispatcher/state_contracting_view/16976589" TargetMode="External"/><Relationship Id="rId459" Type="http://schemas.openxmlformats.org/officeDocument/2006/relationships/hyperlink" Target="https://my.zakupivli.pro/remote/dispatcher/state_contracting_view/15455429" TargetMode="External"/><Relationship Id="rId624" Type="http://schemas.openxmlformats.org/officeDocument/2006/relationships/hyperlink" Target="https://my.zakupivli.pro/remote/dispatcher/state_purchase_view/46456072" TargetMode="External"/><Relationship Id="rId16" Type="http://schemas.openxmlformats.org/officeDocument/2006/relationships/hyperlink" Target="https://my.zakupivli.pro/remote/dispatcher/state_purchase_view/40969824" TargetMode="External"/><Relationship Id="rId221" Type="http://schemas.openxmlformats.org/officeDocument/2006/relationships/hyperlink" Target="https://my.zakupivli.pro/remote/dispatcher/state_contracting_view/15240367" TargetMode="External"/><Relationship Id="rId263" Type="http://schemas.openxmlformats.org/officeDocument/2006/relationships/hyperlink" Target="https://my.zakupivli.pro/remote/dispatcher/state_contracting_view/15256755" TargetMode="External"/><Relationship Id="rId319" Type="http://schemas.openxmlformats.org/officeDocument/2006/relationships/hyperlink" Target="https://my.zakupivli.pro/remote/dispatcher/state_contracting_view/18720566" TargetMode="External"/><Relationship Id="rId470" Type="http://schemas.openxmlformats.org/officeDocument/2006/relationships/hyperlink" Target="https://my.zakupivli.pro/remote/dispatcher/state_purchase_view/41401656" TargetMode="External"/><Relationship Id="rId526" Type="http://schemas.openxmlformats.org/officeDocument/2006/relationships/hyperlink" Target="https://my.zakupivli.pro/remote/dispatcher/state_purchase_view/42438468" TargetMode="External"/><Relationship Id="rId58" Type="http://schemas.openxmlformats.org/officeDocument/2006/relationships/hyperlink" Target="https://my.zakupivli.pro/remote/dispatcher/state_purchase_view/47125160" TargetMode="External"/><Relationship Id="rId123" Type="http://schemas.openxmlformats.org/officeDocument/2006/relationships/hyperlink" Target="https://my.zakupivli.pro/remote/dispatcher/state_contracting_view/18323324" TargetMode="External"/><Relationship Id="rId330" Type="http://schemas.openxmlformats.org/officeDocument/2006/relationships/hyperlink" Target="https://my.zakupivli.pro/remote/dispatcher/state_purchase_view/44986883" TargetMode="External"/><Relationship Id="rId568" Type="http://schemas.openxmlformats.org/officeDocument/2006/relationships/hyperlink" Target="https://my.zakupivli.pro/remote/dispatcher/state_purchase_view/40706280" TargetMode="External"/><Relationship Id="rId165" Type="http://schemas.openxmlformats.org/officeDocument/2006/relationships/hyperlink" Target="https://my.zakupivli.pro/remote/dispatcher/state_contracting_view/16955946" TargetMode="External"/><Relationship Id="rId372" Type="http://schemas.openxmlformats.org/officeDocument/2006/relationships/hyperlink" Target="https://my.zakupivli.pro/remote/dispatcher/state_purchase_view/46737389" TargetMode="External"/><Relationship Id="rId428" Type="http://schemas.openxmlformats.org/officeDocument/2006/relationships/hyperlink" Target="https://my.zakupivli.pro/remote/dispatcher/state_purchase_view/45531845" TargetMode="External"/><Relationship Id="rId635" Type="http://schemas.openxmlformats.org/officeDocument/2006/relationships/hyperlink" Target="https://my.zakupivli.pro/remote/dispatcher/state_contracting_view/17140974" TargetMode="External"/><Relationship Id="rId232" Type="http://schemas.openxmlformats.org/officeDocument/2006/relationships/hyperlink" Target="https://my.zakupivli.pro/remote/dispatcher/state_purchase_view/40221390" TargetMode="External"/><Relationship Id="rId274" Type="http://schemas.openxmlformats.org/officeDocument/2006/relationships/hyperlink" Target="https://my.zakupivli.pro/remote/dispatcher/state_purchase_view/42693071" TargetMode="External"/><Relationship Id="rId481" Type="http://schemas.openxmlformats.org/officeDocument/2006/relationships/hyperlink" Target="https://my.zakupivli.pro/remote/dispatcher/state_contracting_view/15869047" TargetMode="External"/><Relationship Id="rId27" Type="http://schemas.openxmlformats.org/officeDocument/2006/relationships/hyperlink" Target="https://my.zakupivli.pro/remote/dispatcher/state_contracting_view/15257604" TargetMode="External"/><Relationship Id="rId69" Type="http://schemas.openxmlformats.org/officeDocument/2006/relationships/hyperlink" Target="https://my.zakupivli.pro/remote/dispatcher/state_contracting_view/16799073" TargetMode="External"/><Relationship Id="rId134" Type="http://schemas.openxmlformats.org/officeDocument/2006/relationships/hyperlink" Target="https://my.zakupivli.pro/remote/dispatcher/state_purchase_view/46808405" TargetMode="External"/><Relationship Id="rId537" Type="http://schemas.openxmlformats.org/officeDocument/2006/relationships/hyperlink" Target="https://my.zakupivli.pro/remote/dispatcher/state_contracting_view/18020726" TargetMode="External"/><Relationship Id="rId579" Type="http://schemas.openxmlformats.org/officeDocument/2006/relationships/hyperlink" Target="https://my.zakupivli.pro/remote/dispatcher/state_contracting_view/15619163" TargetMode="External"/><Relationship Id="rId80" Type="http://schemas.openxmlformats.org/officeDocument/2006/relationships/hyperlink" Target="https://my.zakupivli.pro/remote/dispatcher/state_purchase_view/45907221" TargetMode="External"/><Relationship Id="rId176" Type="http://schemas.openxmlformats.org/officeDocument/2006/relationships/hyperlink" Target="https://my.zakupivli.pro/remote/dispatcher/state_purchase_view/47953598" TargetMode="External"/><Relationship Id="rId341" Type="http://schemas.openxmlformats.org/officeDocument/2006/relationships/hyperlink" Target="https://my.zakupivli.pro/remote/dispatcher/state_contracting_view/15402254" TargetMode="External"/><Relationship Id="rId383" Type="http://schemas.openxmlformats.org/officeDocument/2006/relationships/hyperlink" Target="https://my.zakupivli.pro/remote/dispatcher/state_contracting_view/18375229" TargetMode="External"/><Relationship Id="rId439" Type="http://schemas.openxmlformats.org/officeDocument/2006/relationships/hyperlink" Target="https://my.zakupivli.pro/remote/dispatcher/state_contracting_view/17468701" TargetMode="External"/><Relationship Id="rId590" Type="http://schemas.openxmlformats.org/officeDocument/2006/relationships/hyperlink" Target="https://my.zakupivli.pro/remote/dispatcher/state_purchase_view/44713932" TargetMode="External"/><Relationship Id="rId604" Type="http://schemas.openxmlformats.org/officeDocument/2006/relationships/hyperlink" Target="https://my.zakupivli.pro/remote/dispatcher/state_purchase_view/44990301" TargetMode="External"/><Relationship Id="rId201" Type="http://schemas.openxmlformats.org/officeDocument/2006/relationships/hyperlink" Target="https://my.zakupivli.pro/remote/dispatcher/state_contracting_view/17116045" TargetMode="External"/><Relationship Id="rId243" Type="http://schemas.openxmlformats.org/officeDocument/2006/relationships/hyperlink" Target="https://my.zakupivli.pro/remote/dispatcher/state_contracting_view/15877776" TargetMode="External"/><Relationship Id="rId285" Type="http://schemas.openxmlformats.org/officeDocument/2006/relationships/hyperlink" Target="https://my.zakupivli.pro/remote/dispatcher/state_contracting_view/16643359" TargetMode="External"/><Relationship Id="rId450" Type="http://schemas.openxmlformats.org/officeDocument/2006/relationships/hyperlink" Target="https://my.zakupivli.pro/remote/dispatcher/state_purchase_view/40041282" TargetMode="External"/><Relationship Id="rId506" Type="http://schemas.openxmlformats.org/officeDocument/2006/relationships/hyperlink" Target="https://my.zakupivli.pro/remote/dispatcher/state_purchase_view/43498184" TargetMode="External"/><Relationship Id="rId38" Type="http://schemas.openxmlformats.org/officeDocument/2006/relationships/hyperlink" Target="https://my.zakupivli.pro/remote/dispatcher/state_purchase_view/42237015" TargetMode="External"/><Relationship Id="rId103" Type="http://schemas.openxmlformats.org/officeDocument/2006/relationships/hyperlink" Target="https://my.zakupivli.pro/remote/dispatcher/state_contracting_view/17865020" TargetMode="External"/><Relationship Id="rId310" Type="http://schemas.openxmlformats.org/officeDocument/2006/relationships/hyperlink" Target="https://my.zakupivli.pro/remote/dispatcher/state_purchase_view/44971385" TargetMode="External"/><Relationship Id="rId492" Type="http://schemas.openxmlformats.org/officeDocument/2006/relationships/hyperlink" Target="https://my.zakupivli.pro/remote/dispatcher/state_purchase_view/41606145" TargetMode="External"/><Relationship Id="rId548" Type="http://schemas.openxmlformats.org/officeDocument/2006/relationships/hyperlink" Target="https://my.zakupivli.pro/remote/dispatcher/state_purchase_view/41950052" TargetMode="External"/><Relationship Id="rId91" Type="http://schemas.openxmlformats.org/officeDocument/2006/relationships/hyperlink" Target="https://my.zakupivli.pro/remote/dispatcher/state_contracting_view/18709335" TargetMode="External"/><Relationship Id="rId145" Type="http://schemas.openxmlformats.org/officeDocument/2006/relationships/hyperlink" Target="https://my.zakupivli.pro/remote/dispatcher/state_contracting_view/15682047" TargetMode="External"/><Relationship Id="rId187" Type="http://schemas.openxmlformats.org/officeDocument/2006/relationships/hyperlink" Target="https://my.zakupivli.pro/remote/dispatcher/state_contracting_view/17612604" TargetMode="External"/><Relationship Id="rId352" Type="http://schemas.openxmlformats.org/officeDocument/2006/relationships/hyperlink" Target="https://my.zakupivli.pro/remote/dispatcher/state_purchase_view/44714642" TargetMode="External"/><Relationship Id="rId394" Type="http://schemas.openxmlformats.org/officeDocument/2006/relationships/hyperlink" Target="https://my.zakupivli.pro/remote/dispatcher/state_purchase_view/45905069" TargetMode="External"/><Relationship Id="rId408" Type="http://schemas.openxmlformats.org/officeDocument/2006/relationships/hyperlink" Target="https://my.zakupivli.pro/remote/dispatcher/state_purchase_view/41191380" TargetMode="External"/><Relationship Id="rId615" Type="http://schemas.openxmlformats.org/officeDocument/2006/relationships/hyperlink" Target="https://my.zakupivli.pro/remote/dispatcher/state_contracting_view/16533703" TargetMode="External"/><Relationship Id="rId212" Type="http://schemas.openxmlformats.org/officeDocument/2006/relationships/hyperlink" Target="https://my.zakupivli.pro/remote/dispatcher/state_purchase_view/45660127" TargetMode="External"/><Relationship Id="rId254" Type="http://schemas.openxmlformats.org/officeDocument/2006/relationships/hyperlink" Target="https://my.zakupivli.pro/remote/dispatcher/state_purchase_view/40882033" TargetMode="External"/><Relationship Id="rId49" Type="http://schemas.openxmlformats.org/officeDocument/2006/relationships/hyperlink" Target="https://my.zakupivli.pro/remote/dispatcher/state_contracting_view/16389886" TargetMode="External"/><Relationship Id="rId114" Type="http://schemas.openxmlformats.org/officeDocument/2006/relationships/hyperlink" Target="https://my.zakupivli.pro/remote/dispatcher/state_purchase_view/43099531" TargetMode="External"/><Relationship Id="rId296" Type="http://schemas.openxmlformats.org/officeDocument/2006/relationships/hyperlink" Target="https://my.zakupivli.pro/remote/dispatcher/state_purchase_view/42259980" TargetMode="External"/><Relationship Id="rId461" Type="http://schemas.openxmlformats.org/officeDocument/2006/relationships/hyperlink" Target="https://my.zakupivli.pro/remote/dispatcher/state_contracting_view/15507497" TargetMode="External"/><Relationship Id="rId517" Type="http://schemas.openxmlformats.org/officeDocument/2006/relationships/hyperlink" Target="https://my.zakupivli.pro/remote/dispatcher/state_contracting_view/16640906" TargetMode="External"/><Relationship Id="rId559" Type="http://schemas.openxmlformats.org/officeDocument/2006/relationships/hyperlink" Target="https://my.zakupivli.pro/remote/dispatcher/state_contracting_view/15453028" TargetMode="External"/><Relationship Id="rId60" Type="http://schemas.openxmlformats.org/officeDocument/2006/relationships/hyperlink" Target="https://my.zakupivli.pro/remote/dispatcher/state_purchase_view/47012685" TargetMode="External"/><Relationship Id="rId156" Type="http://schemas.openxmlformats.org/officeDocument/2006/relationships/hyperlink" Target="https://my.zakupivli.pro/remote/dispatcher/state_purchase_view/41310912" TargetMode="External"/><Relationship Id="rId198" Type="http://schemas.openxmlformats.org/officeDocument/2006/relationships/hyperlink" Target="https://my.zakupivli.pro/remote/dispatcher/state_purchase_view/43787011" TargetMode="External"/><Relationship Id="rId321" Type="http://schemas.openxmlformats.org/officeDocument/2006/relationships/hyperlink" Target="https://my.zakupivli.pro/remote/dispatcher/state_contracting_view/18450126" TargetMode="External"/><Relationship Id="rId363" Type="http://schemas.openxmlformats.org/officeDocument/2006/relationships/hyperlink" Target="https://my.zakupivli.pro/remote/dispatcher/state_contracting_view/17283868" TargetMode="External"/><Relationship Id="rId419" Type="http://schemas.openxmlformats.org/officeDocument/2006/relationships/hyperlink" Target="https://my.zakupivli.pro/remote/dispatcher/state_contracting_view/17039283" TargetMode="External"/><Relationship Id="rId570" Type="http://schemas.openxmlformats.org/officeDocument/2006/relationships/hyperlink" Target="https://my.zakupivli.pro/remote/dispatcher/state_purchase_view/42758889" TargetMode="External"/><Relationship Id="rId626" Type="http://schemas.openxmlformats.org/officeDocument/2006/relationships/hyperlink" Target="https://my.zakupivli.pro/remote/dispatcher/state_purchase_view/46285828" TargetMode="External"/><Relationship Id="rId223" Type="http://schemas.openxmlformats.org/officeDocument/2006/relationships/hyperlink" Target="https://my.zakupivli.pro/remote/dispatcher/state_contracting_view/16799935" TargetMode="External"/><Relationship Id="rId430" Type="http://schemas.openxmlformats.org/officeDocument/2006/relationships/hyperlink" Target="https://my.zakupivli.pro/remote/dispatcher/state_purchase_view/45455411" TargetMode="External"/><Relationship Id="rId18" Type="http://schemas.openxmlformats.org/officeDocument/2006/relationships/hyperlink" Target="https://my.zakupivli.pro/remote/dispatcher/state_purchase_view/41219339" TargetMode="External"/><Relationship Id="rId265" Type="http://schemas.openxmlformats.org/officeDocument/2006/relationships/hyperlink" Target="https://my.zakupivli.pro/remote/dispatcher/state_contracting_view/15838143" TargetMode="External"/><Relationship Id="rId472" Type="http://schemas.openxmlformats.org/officeDocument/2006/relationships/hyperlink" Target="https://my.zakupivli.pro/remote/dispatcher/state_purchase_view/41401016" TargetMode="External"/><Relationship Id="rId528" Type="http://schemas.openxmlformats.org/officeDocument/2006/relationships/hyperlink" Target="https://my.zakupivli.pro/remote/dispatcher/state_purchase_view/39940648" TargetMode="External"/><Relationship Id="rId125" Type="http://schemas.openxmlformats.org/officeDocument/2006/relationships/hyperlink" Target="https://my.zakupivli.pro/remote/dispatcher/state_contracting_view/15951312" TargetMode="External"/><Relationship Id="rId167" Type="http://schemas.openxmlformats.org/officeDocument/2006/relationships/hyperlink" Target="https://my.zakupivli.pro/remote/dispatcher/state_contracting_view/16885167" TargetMode="External"/><Relationship Id="rId332" Type="http://schemas.openxmlformats.org/officeDocument/2006/relationships/hyperlink" Target="https://my.zakupivli.pro/remote/dispatcher/state_purchase_view/43576052" TargetMode="External"/><Relationship Id="rId374" Type="http://schemas.openxmlformats.org/officeDocument/2006/relationships/hyperlink" Target="https://my.zakupivli.pro/remote/dispatcher/state_purchase_view/40221689" TargetMode="External"/><Relationship Id="rId581" Type="http://schemas.openxmlformats.org/officeDocument/2006/relationships/hyperlink" Target="https://my.zakupivli.pro/remote/dispatcher/state_contracting_view/16916978" TargetMode="External"/><Relationship Id="rId71" Type="http://schemas.openxmlformats.org/officeDocument/2006/relationships/hyperlink" Target="https://my.zakupivli.pro/remote/dispatcher/state_contracting_view/16816912" TargetMode="External"/><Relationship Id="rId234" Type="http://schemas.openxmlformats.org/officeDocument/2006/relationships/hyperlink" Target="https://my.zakupivli.pro/remote/dispatcher/state_purchase_view/40053577" TargetMode="External"/><Relationship Id="rId637" Type="http://schemas.openxmlformats.org/officeDocument/2006/relationships/hyperlink" Target="https://my.zakupivli.pro/remote/dispatcher/state_contracting_view/17606063" TargetMode="External"/><Relationship Id="rId2" Type="http://schemas.openxmlformats.org/officeDocument/2006/relationships/hyperlink" Target="https://my.zakupivli.pro/remote/dispatcher/state_purchase_view/40258937" TargetMode="External"/><Relationship Id="rId29" Type="http://schemas.openxmlformats.org/officeDocument/2006/relationships/hyperlink" Target="https://my.zakupivli.pro/remote/dispatcher/state_contracting_view/15255449" TargetMode="External"/><Relationship Id="rId276" Type="http://schemas.openxmlformats.org/officeDocument/2006/relationships/hyperlink" Target="https://my.zakupivli.pro/remote/dispatcher/state_purchase_view/40114385" TargetMode="External"/><Relationship Id="rId441" Type="http://schemas.openxmlformats.org/officeDocument/2006/relationships/hyperlink" Target="https://my.zakupivli.pro/remote/dispatcher/state_contracting_view/16885878" TargetMode="External"/><Relationship Id="rId483" Type="http://schemas.openxmlformats.org/officeDocument/2006/relationships/hyperlink" Target="https://my.zakupivli.pro/remote/dispatcher/state_contracting_view/15695888" TargetMode="External"/><Relationship Id="rId539" Type="http://schemas.openxmlformats.org/officeDocument/2006/relationships/hyperlink" Target="https://my.zakupivli.pro/remote/dispatcher/state_contracting_view/15788390" TargetMode="External"/><Relationship Id="rId40" Type="http://schemas.openxmlformats.org/officeDocument/2006/relationships/hyperlink" Target="https://my.zakupivli.pro/remote/dispatcher/state_purchase_view/42694695" TargetMode="External"/><Relationship Id="rId136" Type="http://schemas.openxmlformats.org/officeDocument/2006/relationships/hyperlink" Target="https://my.zakupivli.pro/remote/dispatcher/state_purchase_view/45196456" TargetMode="External"/><Relationship Id="rId178" Type="http://schemas.openxmlformats.org/officeDocument/2006/relationships/hyperlink" Target="https://my.zakupivli.pro/remote/dispatcher/state_purchase_view/47937632" TargetMode="External"/><Relationship Id="rId301" Type="http://schemas.openxmlformats.org/officeDocument/2006/relationships/hyperlink" Target="https://my.zakupivli.pro/remote/dispatcher/state_contracting_view/17508267" TargetMode="External"/><Relationship Id="rId343" Type="http://schemas.openxmlformats.org/officeDocument/2006/relationships/hyperlink" Target="https://my.zakupivli.pro/remote/dispatcher/state_contracting_view/15838444" TargetMode="External"/><Relationship Id="rId550" Type="http://schemas.openxmlformats.org/officeDocument/2006/relationships/hyperlink" Target="https://my.zakupivli.pro/remote/dispatcher/state_purchase_view/47102442" TargetMode="External"/><Relationship Id="rId82" Type="http://schemas.openxmlformats.org/officeDocument/2006/relationships/hyperlink" Target="https://my.zakupivli.pro/remote/dispatcher/state_purchase_view/46957563" TargetMode="External"/><Relationship Id="rId203" Type="http://schemas.openxmlformats.org/officeDocument/2006/relationships/hyperlink" Target="https://my.zakupivli.pro/remote/dispatcher/state_contracting_view/17087258" TargetMode="External"/><Relationship Id="rId385" Type="http://schemas.openxmlformats.org/officeDocument/2006/relationships/hyperlink" Target="https://my.zakupivli.pro/remote/dispatcher/state_contracting_view/18303120" TargetMode="External"/><Relationship Id="rId592" Type="http://schemas.openxmlformats.org/officeDocument/2006/relationships/hyperlink" Target="https://my.zakupivli.pro/remote/dispatcher/state_purchase_view/44710814" TargetMode="External"/><Relationship Id="rId606" Type="http://schemas.openxmlformats.org/officeDocument/2006/relationships/hyperlink" Target="https://my.zakupivli.pro/remote/dispatcher/state_purchase_view/47226519" TargetMode="External"/><Relationship Id="rId245" Type="http://schemas.openxmlformats.org/officeDocument/2006/relationships/hyperlink" Target="https://my.zakupivli.pro/remote/dispatcher/state_contracting_view/15452646" TargetMode="External"/><Relationship Id="rId287" Type="http://schemas.openxmlformats.org/officeDocument/2006/relationships/hyperlink" Target="https://my.zakupivli.pro/remote/dispatcher/state_contracting_view/17729776" TargetMode="External"/><Relationship Id="rId410" Type="http://schemas.openxmlformats.org/officeDocument/2006/relationships/hyperlink" Target="https://my.zakupivli.pro/remote/dispatcher/state_purchase_view/42828630" TargetMode="External"/><Relationship Id="rId452" Type="http://schemas.openxmlformats.org/officeDocument/2006/relationships/hyperlink" Target="https://my.zakupivli.pro/remote/dispatcher/state_purchase_view/41771055" TargetMode="External"/><Relationship Id="rId494" Type="http://schemas.openxmlformats.org/officeDocument/2006/relationships/hyperlink" Target="https://my.zakupivli.pro/remote/dispatcher/state_purchase_view/41575446" TargetMode="External"/><Relationship Id="rId508" Type="http://schemas.openxmlformats.org/officeDocument/2006/relationships/hyperlink" Target="https://my.zakupivli.pro/remote/dispatcher/state_purchase_view/45137349" TargetMode="External"/><Relationship Id="rId105" Type="http://schemas.openxmlformats.org/officeDocument/2006/relationships/hyperlink" Target="https://my.zakupivli.pro/remote/dispatcher/state_contracting_view/18006143" TargetMode="External"/><Relationship Id="rId147" Type="http://schemas.openxmlformats.org/officeDocument/2006/relationships/hyperlink" Target="https://my.zakupivli.pro/remote/dispatcher/state_contracting_view/16110084" TargetMode="External"/><Relationship Id="rId312" Type="http://schemas.openxmlformats.org/officeDocument/2006/relationships/hyperlink" Target="https://my.zakupivli.pro/remote/dispatcher/state_purchase_view/45014170" TargetMode="External"/><Relationship Id="rId354" Type="http://schemas.openxmlformats.org/officeDocument/2006/relationships/hyperlink" Target="https://my.zakupivli.pro/remote/dispatcher/state_purchase_view/44711888" TargetMode="External"/><Relationship Id="rId51" Type="http://schemas.openxmlformats.org/officeDocument/2006/relationships/hyperlink" Target="https://my.zakupivli.pro/remote/dispatcher/state_contracting_view/17741093" TargetMode="External"/><Relationship Id="rId93" Type="http://schemas.openxmlformats.org/officeDocument/2006/relationships/hyperlink" Target="https://my.zakupivli.pro/remote/dispatcher/state_contracting_view/17349255" TargetMode="External"/><Relationship Id="rId189" Type="http://schemas.openxmlformats.org/officeDocument/2006/relationships/hyperlink" Target="https://my.zakupivli.pro/remote/dispatcher/state_contracting_view/16532650" TargetMode="External"/><Relationship Id="rId396" Type="http://schemas.openxmlformats.org/officeDocument/2006/relationships/hyperlink" Target="https://my.zakupivli.pro/remote/dispatcher/state_purchase_view/40245424" TargetMode="External"/><Relationship Id="rId561" Type="http://schemas.openxmlformats.org/officeDocument/2006/relationships/hyperlink" Target="https://my.zakupivli.pro/remote/dispatcher/state_contracting_view/15663158" TargetMode="External"/><Relationship Id="rId617" Type="http://schemas.openxmlformats.org/officeDocument/2006/relationships/hyperlink" Target="https://my.zakupivli.pro/remote/dispatcher/state_contracting_view/17981519" TargetMode="External"/><Relationship Id="rId214" Type="http://schemas.openxmlformats.org/officeDocument/2006/relationships/hyperlink" Target="https://my.zakupivli.pro/remote/dispatcher/state_purchase_view/47400522" TargetMode="External"/><Relationship Id="rId256" Type="http://schemas.openxmlformats.org/officeDocument/2006/relationships/hyperlink" Target="https://my.zakupivli.pro/remote/dispatcher/state_purchase_view/42866109" TargetMode="External"/><Relationship Id="rId298" Type="http://schemas.openxmlformats.org/officeDocument/2006/relationships/hyperlink" Target="https://my.zakupivli.pro/remote/dispatcher/state_purchase_view/39445801" TargetMode="External"/><Relationship Id="rId421" Type="http://schemas.openxmlformats.org/officeDocument/2006/relationships/hyperlink" Target="https://my.zakupivli.pro/remote/dispatcher/state_contracting_view/17039488" TargetMode="External"/><Relationship Id="rId463" Type="http://schemas.openxmlformats.org/officeDocument/2006/relationships/hyperlink" Target="https://my.zakupivli.pro/remote/dispatcher/state_contracting_view/15458962" TargetMode="External"/><Relationship Id="rId519" Type="http://schemas.openxmlformats.org/officeDocument/2006/relationships/hyperlink" Target="https://my.zakupivli.pro/remote/dispatcher/state_contracting_view/16142879" TargetMode="External"/><Relationship Id="rId116" Type="http://schemas.openxmlformats.org/officeDocument/2006/relationships/hyperlink" Target="https://my.zakupivli.pro/remote/dispatcher/state_purchase_view/44204424" TargetMode="External"/><Relationship Id="rId158" Type="http://schemas.openxmlformats.org/officeDocument/2006/relationships/hyperlink" Target="https://my.zakupivli.pro/remote/dispatcher/state_purchase_view/40927826" TargetMode="External"/><Relationship Id="rId323" Type="http://schemas.openxmlformats.org/officeDocument/2006/relationships/hyperlink" Target="https://my.zakupivli.pro/remote/dispatcher/state_contracting_view/18772389" TargetMode="External"/><Relationship Id="rId530" Type="http://schemas.openxmlformats.org/officeDocument/2006/relationships/hyperlink" Target="https://my.zakupivli.pro/remote/dispatcher/state_purchase_view/42829789" TargetMode="External"/><Relationship Id="rId20" Type="http://schemas.openxmlformats.org/officeDocument/2006/relationships/hyperlink" Target="https://my.zakupivli.pro/remote/dispatcher/state_purchase_view/40706735" TargetMode="External"/><Relationship Id="rId62" Type="http://schemas.openxmlformats.org/officeDocument/2006/relationships/hyperlink" Target="https://my.zakupivli.pro/remote/dispatcher/state_purchase_view/43117502" TargetMode="External"/><Relationship Id="rId365" Type="http://schemas.openxmlformats.org/officeDocument/2006/relationships/hyperlink" Target="https://my.zakupivli.pro/remote/dispatcher/state_contracting_view/16799879" TargetMode="External"/><Relationship Id="rId572" Type="http://schemas.openxmlformats.org/officeDocument/2006/relationships/hyperlink" Target="https://my.zakupivli.pro/remote/dispatcher/state_purchase_view/43453823" TargetMode="External"/><Relationship Id="rId628" Type="http://schemas.openxmlformats.org/officeDocument/2006/relationships/hyperlink" Target="https://my.zakupivli.pro/remote/dispatcher/state_purchase_view/46123540" TargetMode="External"/><Relationship Id="rId225" Type="http://schemas.openxmlformats.org/officeDocument/2006/relationships/hyperlink" Target="https://my.zakupivli.pro/remote/dispatcher/state_contracting_view/16534305" TargetMode="External"/><Relationship Id="rId267" Type="http://schemas.openxmlformats.org/officeDocument/2006/relationships/hyperlink" Target="https://my.zakupivli.pro/remote/dispatcher/state_contracting_view/15838265" TargetMode="External"/><Relationship Id="rId432" Type="http://schemas.openxmlformats.org/officeDocument/2006/relationships/hyperlink" Target="https://my.zakupivli.pro/remote/dispatcher/state_purchase_view/46258728" TargetMode="External"/><Relationship Id="rId474" Type="http://schemas.openxmlformats.org/officeDocument/2006/relationships/hyperlink" Target="https://my.zakupivli.pro/remote/dispatcher/state_purchase_view/41945174" TargetMode="External"/><Relationship Id="rId127" Type="http://schemas.openxmlformats.org/officeDocument/2006/relationships/hyperlink" Target="https://my.zakupivli.pro/remote/dispatcher/state_contracting_view/16246212" TargetMode="External"/><Relationship Id="rId31" Type="http://schemas.openxmlformats.org/officeDocument/2006/relationships/hyperlink" Target="https://my.zakupivli.pro/remote/dispatcher/state_contracting_view/15268420" TargetMode="External"/><Relationship Id="rId73" Type="http://schemas.openxmlformats.org/officeDocument/2006/relationships/hyperlink" Target="https://my.zakupivli.pro/remote/dispatcher/state_contracting_view/16534635" TargetMode="External"/><Relationship Id="rId169" Type="http://schemas.openxmlformats.org/officeDocument/2006/relationships/hyperlink" Target="https://my.zakupivli.pro/remote/dispatcher/state_contracting_view/17265797" TargetMode="External"/><Relationship Id="rId334" Type="http://schemas.openxmlformats.org/officeDocument/2006/relationships/hyperlink" Target="https://my.zakupivli.pro/remote/dispatcher/state_purchase_view/45359538" TargetMode="External"/><Relationship Id="rId376" Type="http://schemas.openxmlformats.org/officeDocument/2006/relationships/hyperlink" Target="https://my.zakupivli.pro/remote/dispatcher/state_purchase_view/40376456" TargetMode="External"/><Relationship Id="rId541" Type="http://schemas.openxmlformats.org/officeDocument/2006/relationships/hyperlink" Target="https://my.zakupivli.pro/remote/dispatcher/state_contracting_view/16636207" TargetMode="External"/><Relationship Id="rId583" Type="http://schemas.openxmlformats.org/officeDocument/2006/relationships/hyperlink" Target="https://my.zakupivli.pro/remote/dispatcher/state_contracting_view/17039147" TargetMode="External"/><Relationship Id="rId639" Type="http://schemas.openxmlformats.org/officeDocument/2006/relationships/hyperlink" Target="https://my.zakupivli.pro/remote/dispatcher/state_contracting_view/15215071" TargetMode="External"/><Relationship Id="rId4" Type="http://schemas.openxmlformats.org/officeDocument/2006/relationships/hyperlink" Target="https://my.zakupivli.pro/remote/dispatcher/state_purchase_view/40599042" TargetMode="External"/><Relationship Id="rId180" Type="http://schemas.openxmlformats.org/officeDocument/2006/relationships/hyperlink" Target="https://my.zakupivli.pro/remote/dispatcher/state_purchase_view/44990748" TargetMode="External"/><Relationship Id="rId236" Type="http://schemas.openxmlformats.org/officeDocument/2006/relationships/hyperlink" Target="https://my.zakupivli.pro/remote/dispatcher/state_purchase_view/41219909" TargetMode="External"/><Relationship Id="rId278" Type="http://schemas.openxmlformats.org/officeDocument/2006/relationships/hyperlink" Target="https://my.zakupivli.pro/remote/dispatcher/state_purchase_view/42401303" TargetMode="External"/><Relationship Id="rId401" Type="http://schemas.openxmlformats.org/officeDocument/2006/relationships/hyperlink" Target="https://my.zakupivli.pro/remote/dispatcher/state_contracting_view/16219220" TargetMode="External"/><Relationship Id="rId443" Type="http://schemas.openxmlformats.org/officeDocument/2006/relationships/hyperlink" Target="https://my.zakupivli.pro/remote/dispatcher/state_contracting_view/16446078" TargetMode="External"/><Relationship Id="rId303" Type="http://schemas.openxmlformats.org/officeDocument/2006/relationships/hyperlink" Target="https://my.zakupivli.pro/remote/dispatcher/state_contracting_view/16022616" TargetMode="External"/><Relationship Id="rId485" Type="http://schemas.openxmlformats.org/officeDocument/2006/relationships/hyperlink" Target="https://my.zakupivli.pro/remote/dispatcher/state_contracting_view/15557264" TargetMode="External"/><Relationship Id="rId42" Type="http://schemas.openxmlformats.org/officeDocument/2006/relationships/hyperlink" Target="https://my.zakupivli.pro/remote/dispatcher/state_purchase_view/43550384" TargetMode="External"/><Relationship Id="rId84" Type="http://schemas.openxmlformats.org/officeDocument/2006/relationships/hyperlink" Target="https://my.zakupivli.pro/remote/dispatcher/state_purchase_view/46015886" TargetMode="External"/><Relationship Id="rId138" Type="http://schemas.openxmlformats.org/officeDocument/2006/relationships/hyperlink" Target="https://my.zakupivli.pro/remote/dispatcher/state_purchase_view/40707262" TargetMode="External"/><Relationship Id="rId345" Type="http://schemas.openxmlformats.org/officeDocument/2006/relationships/hyperlink" Target="https://my.zakupivli.pro/remote/dispatcher/state_contracting_view/16888657" TargetMode="External"/><Relationship Id="rId387" Type="http://schemas.openxmlformats.org/officeDocument/2006/relationships/hyperlink" Target="https://my.zakupivli.pro/remote/dispatcher/state_contracting_view/16534467" TargetMode="External"/><Relationship Id="rId510" Type="http://schemas.openxmlformats.org/officeDocument/2006/relationships/hyperlink" Target="https://my.zakupivli.pro/remote/dispatcher/state_purchase_view/44949626" TargetMode="External"/><Relationship Id="rId552" Type="http://schemas.openxmlformats.org/officeDocument/2006/relationships/hyperlink" Target="https://my.zakupivli.pro/remote/dispatcher/state_purchase_view/41743076" TargetMode="External"/><Relationship Id="rId594" Type="http://schemas.openxmlformats.org/officeDocument/2006/relationships/hyperlink" Target="https://my.zakupivli.pro/remote/dispatcher/state_purchase_view/40487836" TargetMode="External"/><Relationship Id="rId608" Type="http://schemas.openxmlformats.org/officeDocument/2006/relationships/hyperlink" Target="https://my.zakupivli.pro/remote/dispatcher/state_purchase_view/42191132" TargetMode="External"/><Relationship Id="rId191" Type="http://schemas.openxmlformats.org/officeDocument/2006/relationships/hyperlink" Target="https://my.zakupivli.pro/remote/dispatcher/state_contracting_view/16537894" TargetMode="External"/><Relationship Id="rId205" Type="http://schemas.openxmlformats.org/officeDocument/2006/relationships/hyperlink" Target="https://my.zakupivli.pro/remote/dispatcher/state_contracting_view/16845485" TargetMode="External"/><Relationship Id="rId247" Type="http://schemas.openxmlformats.org/officeDocument/2006/relationships/hyperlink" Target="https://my.zakupivli.pro/remote/dispatcher/state_contracting_view/15755481" TargetMode="External"/><Relationship Id="rId412" Type="http://schemas.openxmlformats.org/officeDocument/2006/relationships/hyperlink" Target="https://my.zakupivli.pro/remote/dispatcher/state_purchase_view/44205794" TargetMode="External"/><Relationship Id="rId107" Type="http://schemas.openxmlformats.org/officeDocument/2006/relationships/hyperlink" Target="https://my.zakupivli.pro/remote/dispatcher/state_contracting_view/18388038" TargetMode="External"/><Relationship Id="rId289" Type="http://schemas.openxmlformats.org/officeDocument/2006/relationships/hyperlink" Target="https://my.zakupivli.pro/remote/dispatcher/state_contracting_view/17560332" TargetMode="External"/><Relationship Id="rId454" Type="http://schemas.openxmlformats.org/officeDocument/2006/relationships/hyperlink" Target="https://my.zakupivli.pro/remote/dispatcher/state_purchase_view/42259690" TargetMode="External"/><Relationship Id="rId496" Type="http://schemas.openxmlformats.org/officeDocument/2006/relationships/hyperlink" Target="https://my.zakupivli.pro/remote/dispatcher/state_purchase_view/41310426" TargetMode="External"/><Relationship Id="rId11" Type="http://schemas.openxmlformats.org/officeDocument/2006/relationships/hyperlink" Target="https://my.zakupivli.pro/remote/dispatcher/state_contracting_view/15591290" TargetMode="External"/><Relationship Id="rId53" Type="http://schemas.openxmlformats.org/officeDocument/2006/relationships/hyperlink" Target="https://my.zakupivli.pro/remote/dispatcher/state_contracting_view/18022636" TargetMode="External"/><Relationship Id="rId149" Type="http://schemas.openxmlformats.org/officeDocument/2006/relationships/hyperlink" Target="https://my.zakupivli.pro/remote/dispatcher/state_contracting_view/15332776" TargetMode="External"/><Relationship Id="rId314" Type="http://schemas.openxmlformats.org/officeDocument/2006/relationships/hyperlink" Target="https://my.zakupivli.pro/remote/dispatcher/state_purchase_view/45266864" TargetMode="External"/><Relationship Id="rId356" Type="http://schemas.openxmlformats.org/officeDocument/2006/relationships/hyperlink" Target="https://my.zakupivli.pro/remote/dispatcher/state_purchase_view/43800382" TargetMode="External"/><Relationship Id="rId398" Type="http://schemas.openxmlformats.org/officeDocument/2006/relationships/hyperlink" Target="https://my.zakupivli.pro/remote/dispatcher/state_purchase_view/40785081" TargetMode="External"/><Relationship Id="rId521" Type="http://schemas.openxmlformats.org/officeDocument/2006/relationships/hyperlink" Target="https://my.zakupivli.pro/remote/dispatcher/state_contracting_view/16164351" TargetMode="External"/><Relationship Id="rId563" Type="http://schemas.openxmlformats.org/officeDocument/2006/relationships/hyperlink" Target="https://my.zakupivli.pro/remote/dispatcher/state_contracting_view/15265667" TargetMode="External"/><Relationship Id="rId619" Type="http://schemas.openxmlformats.org/officeDocument/2006/relationships/hyperlink" Target="https://my.zakupivli.pro/remote/dispatcher/state_contracting_view/18243756" TargetMode="External"/><Relationship Id="rId95" Type="http://schemas.openxmlformats.org/officeDocument/2006/relationships/hyperlink" Target="https://my.zakupivli.pro/remote/dispatcher/state_contracting_view/17523064" TargetMode="External"/><Relationship Id="rId160" Type="http://schemas.openxmlformats.org/officeDocument/2006/relationships/hyperlink" Target="https://my.zakupivli.pro/remote/dispatcher/state_purchase_view/47937077" TargetMode="External"/><Relationship Id="rId216" Type="http://schemas.openxmlformats.org/officeDocument/2006/relationships/hyperlink" Target="https://my.zakupivli.pro/remote/dispatcher/state_purchase_view/47578424" TargetMode="External"/><Relationship Id="rId423" Type="http://schemas.openxmlformats.org/officeDocument/2006/relationships/hyperlink" Target="https://my.zakupivli.pro/remote/dispatcher/state_contracting_view/17441507" TargetMode="External"/><Relationship Id="rId258" Type="http://schemas.openxmlformats.org/officeDocument/2006/relationships/hyperlink" Target="https://my.zakupivli.pro/remote/dispatcher/state_purchase_view/46595531" TargetMode="External"/><Relationship Id="rId465" Type="http://schemas.openxmlformats.org/officeDocument/2006/relationships/hyperlink" Target="https://my.zakupivli.pro/remote/dispatcher/state_contracting_view/15210956" TargetMode="External"/><Relationship Id="rId630" Type="http://schemas.openxmlformats.org/officeDocument/2006/relationships/hyperlink" Target="https://my.zakupivli.pro/remote/dispatcher/state_purchase_view/48073228" TargetMode="External"/><Relationship Id="rId22" Type="http://schemas.openxmlformats.org/officeDocument/2006/relationships/hyperlink" Target="https://my.zakupivli.pro/remote/dispatcher/state_purchase_view/39925817" TargetMode="External"/><Relationship Id="rId64" Type="http://schemas.openxmlformats.org/officeDocument/2006/relationships/hyperlink" Target="https://my.zakupivli.pro/remote/dispatcher/state_purchase_view/43357889" TargetMode="External"/><Relationship Id="rId118" Type="http://schemas.openxmlformats.org/officeDocument/2006/relationships/hyperlink" Target="https://my.zakupivli.pro/remote/dispatcher/state_purchase_view/43644431" TargetMode="External"/><Relationship Id="rId325" Type="http://schemas.openxmlformats.org/officeDocument/2006/relationships/hyperlink" Target="https://my.zakupivli.pro/remote/dispatcher/state_contracting_view/18772256" TargetMode="External"/><Relationship Id="rId367" Type="http://schemas.openxmlformats.org/officeDocument/2006/relationships/hyperlink" Target="https://my.zakupivli.pro/remote/dispatcher/state_contracting_view/17272596" TargetMode="External"/><Relationship Id="rId532" Type="http://schemas.openxmlformats.org/officeDocument/2006/relationships/hyperlink" Target="https://my.zakupivli.pro/remote/dispatcher/state_purchase_view/46287308" TargetMode="External"/><Relationship Id="rId574" Type="http://schemas.openxmlformats.org/officeDocument/2006/relationships/hyperlink" Target="https://my.zakupivli.pro/remote/dispatcher/state_purchase_view/44531014" TargetMode="External"/><Relationship Id="rId171" Type="http://schemas.openxmlformats.org/officeDocument/2006/relationships/hyperlink" Target="https://my.zakupivli.pro/remote/dispatcher/state_contracting_view/16702263" TargetMode="External"/><Relationship Id="rId227" Type="http://schemas.openxmlformats.org/officeDocument/2006/relationships/hyperlink" Target="https://my.zakupivli.pro/remote/dispatcher/state_contracting_view/16749868" TargetMode="External"/><Relationship Id="rId269" Type="http://schemas.openxmlformats.org/officeDocument/2006/relationships/hyperlink" Target="https://my.zakupivli.pro/remote/dispatcher/state_contracting_view/16023033" TargetMode="External"/><Relationship Id="rId434" Type="http://schemas.openxmlformats.org/officeDocument/2006/relationships/hyperlink" Target="https://my.zakupivli.pro/remote/dispatcher/state_purchase_view/46368200" TargetMode="External"/><Relationship Id="rId476" Type="http://schemas.openxmlformats.org/officeDocument/2006/relationships/hyperlink" Target="https://my.zakupivli.pro/remote/dispatcher/state_purchase_view/42914052" TargetMode="External"/><Relationship Id="rId641" Type="http://schemas.openxmlformats.org/officeDocument/2006/relationships/hyperlink" Target="https://my.zakupivli.pro/remote/dispatcher/state_contracting_view/15287018" TargetMode="External"/><Relationship Id="rId33" Type="http://schemas.openxmlformats.org/officeDocument/2006/relationships/hyperlink" Target="https://my.zakupivli.pro/remote/dispatcher/state_contracting_view/15268182" TargetMode="External"/><Relationship Id="rId129" Type="http://schemas.openxmlformats.org/officeDocument/2006/relationships/hyperlink" Target="https://my.zakupivli.pro/remote/dispatcher/state_contracting_view/17282738" TargetMode="External"/><Relationship Id="rId280" Type="http://schemas.openxmlformats.org/officeDocument/2006/relationships/hyperlink" Target="https://my.zakupivli.pro/remote/dispatcher/state_purchase_view/43110164" TargetMode="External"/><Relationship Id="rId336" Type="http://schemas.openxmlformats.org/officeDocument/2006/relationships/hyperlink" Target="https://my.zakupivli.pro/remote/dispatcher/state_purchase_view/45361155" TargetMode="External"/><Relationship Id="rId501" Type="http://schemas.openxmlformats.org/officeDocument/2006/relationships/hyperlink" Target="https://my.zakupivli.pro/remote/dispatcher/state_contracting_view/18545300" TargetMode="External"/><Relationship Id="rId543" Type="http://schemas.openxmlformats.org/officeDocument/2006/relationships/hyperlink" Target="https://my.zakupivli.pro/remote/dispatcher/state_contracting_view/17980514" TargetMode="External"/><Relationship Id="rId75" Type="http://schemas.openxmlformats.org/officeDocument/2006/relationships/hyperlink" Target="https://my.zakupivli.pro/remote/dispatcher/state_contracting_view/18490026" TargetMode="External"/><Relationship Id="rId140" Type="http://schemas.openxmlformats.org/officeDocument/2006/relationships/hyperlink" Target="https://my.zakupivli.pro/remote/dispatcher/state_purchase_view/47012803" TargetMode="External"/><Relationship Id="rId182" Type="http://schemas.openxmlformats.org/officeDocument/2006/relationships/hyperlink" Target="https://my.zakupivli.pro/remote/dispatcher/state_purchase_view/45236755" TargetMode="External"/><Relationship Id="rId378" Type="http://schemas.openxmlformats.org/officeDocument/2006/relationships/hyperlink" Target="https://my.zakupivli.pro/remote/dispatcher/state_purchase_view/39929180" TargetMode="External"/><Relationship Id="rId403" Type="http://schemas.openxmlformats.org/officeDocument/2006/relationships/hyperlink" Target="https://my.zakupivli.pro/remote/dispatcher/state_contracting_view/16446123" TargetMode="External"/><Relationship Id="rId585" Type="http://schemas.openxmlformats.org/officeDocument/2006/relationships/hyperlink" Target="https://my.zakupivli.pro/remote/dispatcher/state_contracting_view/17716392" TargetMode="External"/><Relationship Id="rId6" Type="http://schemas.openxmlformats.org/officeDocument/2006/relationships/hyperlink" Target="https://my.zakupivli.pro/remote/dispatcher/state_purchase_view/40327803" TargetMode="External"/><Relationship Id="rId238" Type="http://schemas.openxmlformats.org/officeDocument/2006/relationships/hyperlink" Target="https://my.zakupivli.pro/remote/dispatcher/state_purchase_view/40890698" TargetMode="External"/><Relationship Id="rId445" Type="http://schemas.openxmlformats.org/officeDocument/2006/relationships/hyperlink" Target="https://my.zakupivli.pro/remote/dispatcher/state_contracting_view/16643080" TargetMode="External"/><Relationship Id="rId487" Type="http://schemas.openxmlformats.org/officeDocument/2006/relationships/hyperlink" Target="https://my.zakupivli.pro/remote/dispatcher/state_contracting_view/15550508" TargetMode="External"/><Relationship Id="rId610" Type="http://schemas.openxmlformats.org/officeDocument/2006/relationships/hyperlink" Target="https://my.zakupivli.pro/remote/dispatcher/state_purchase_view/40569037" TargetMode="External"/><Relationship Id="rId291" Type="http://schemas.openxmlformats.org/officeDocument/2006/relationships/hyperlink" Target="https://my.zakupivli.pro/remote/dispatcher/state_contracting_view/17447556" TargetMode="External"/><Relationship Id="rId305" Type="http://schemas.openxmlformats.org/officeDocument/2006/relationships/hyperlink" Target="https://my.zakupivli.pro/remote/dispatcher/state_contracting_view/17222088" TargetMode="External"/><Relationship Id="rId347" Type="http://schemas.openxmlformats.org/officeDocument/2006/relationships/hyperlink" Target="https://my.zakupivli.pro/remote/dispatcher/state_contracting_view/16288638" TargetMode="External"/><Relationship Id="rId512" Type="http://schemas.openxmlformats.org/officeDocument/2006/relationships/hyperlink" Target="https://my.zakupivli.pro/remote/dispatcher/state_purchase_view/45196978" TargetMode="External"/><Relationship Id="rId44" Type="http://schemas.openxmlformats.org/officeDocument/2006/relationships/hyperlink" Target="https://my.zakupivli.pro/remote/dispatcher/state_purchase_view/43643890" TargetMode="External"/><Relationship Id="rId86" Type="http://schemas.openxmlformats.org/officeDocument/2006/relationships/hyperlink" Target="https://my.zakupivli.pro/remote/dispatcher/state_purchase_view/43419844" TargetMode="External"/><Relationship Id="rId151" Type="http://schemas.openxmlformats.org/officeDocument/2006/relationships/hyperlink" Target="https://my.zakupivli.pro/remote/dispatcher/state_contracting_view/15646050" TargetMode="External"/><Relationship Id="rId389" Type="http://schemas.openxmlformats.org/officeDocument/2006/relationships/hyperlink" Target="https://my.zakupivli.pro/remote/dispatcher/state_contracting_view/15713055" TargetMode="External"/><Relationship Id="rId554" Type="http://schemas.openxmlformats.org/officeDocument/2006/relationships/hyperlink" Target="https://my.zakupivli.pro/remote/dispatcher/state_purchase_view/41190878" TargetMode="External"/><Relationship Id="rId596" Type="http://schemas.openxmlformats.org/officeDocument/2006/relationships/hyperlink" Target="https://my.zakupivli.pro/remote/dispatcher/state_purchase_view/44704896" TargetMode="External"/><Relationship Id="rId193" Type="http://schemas.openxmlformats.org/officeDocument/2006/relationships/hyperlink" Target="https://my.zakupivli.pro/remote/dispatcher/state_contracting_view/15907599" TargetMode="External"/><Relationship Id="rId207" Type="http://schemas.openxmlformats.org/officeDocument/2006/relationships/hyperlink" Target="https://my.zakupivli.pro/remote/dispatcher/state_contracting_view/17219746" TargetMode="External"/><Relationship Id="rId249" Type="http://schemas.openxmlformats.org/officeDocument/2006/relationships/hyperlink" Target="https://my.zakupivli.pro/remote/dispatcher/state_contracting_view/16329751" TargetMode="External"/><Relationship Id="rId414" Type="http://schemas.openxmlformats.org/officeDocument/2006/relationships/hyperlink" Target="https://my.zakupivli.pro/remote/dispatcher/state_purchase_view/39982288" TargetMode="External"/><Relationship Id="rId456" Type="http://schemas.openxmlformats.org/officeDocument/2006/relationships/hyperlink" Target="https://my.zakupivli.pro/remote/dispatcher/state_purchase_view/42437654" TargetMode="External"/><Relationship Id="rId498" Type="http://schemas.openxmlformats.org/officeDocument/2006/relationships/hyperlink" Target="https://my.zakupivli.pro/remote/dispatcher/state_purchase_view/45630974" TargetMode="External"/><Relationship Id="rId621" Type="http://schemas.openxmlformats.org/officeDocument/2006/relationships/hyperlink" Target="https://my.zakupivli.pro/remote/dispatcher/state_contracting_view/18244282" TargetMode="External"/><Relationship Id="rId13" Type="http://schemas.openxmlformats.org/officeDocument/2006/relationships/hyperlink" Target="https://my.zakupivli.pro/remote/dispatcher/state_contracting_view/15591412" TargetMode="External"/><Relationship Id="rId109" Type="http://schemas.openxmlformats.org/officeDocument/2006/relationships/hyperlink" Target="https://my.zakupivli.pro/remote/dispatcher/state_contracting_view/16821762" TargetMode="External"/><Relationship Id="rId260" Type="http://schemas.openxmlformats.org/officeDocument/2006/relationships/hyperlink" Target="https://my.zakupivli.pro/remote/dispatcher/state_purchase_view/45066925" TargetMode="External"/><Relationship Id="rId316" Type="http://schemas.openxmlformats.org/officeDocument/2006/relationships/hyperlink" Target="https://my.zakupivli.pro/remote/dispatcher/state_purchase_view/46609459" TargetMode="External"/><Relationship Id="rId523" Type="http://schemas.openxmlformats.org/officeDocument/2006/relationships/hyperlink" Target="https://my.zakupivli.pro/remote/dispatcher/state_contracting_view/16446843" TargetMode="External"/><Relationship Id="rId55" Type="http://schemas.openxmlformats.org/officeDocument/2006/relationships/hyperlink" Target="https://my.zakupivli.pro/remote/dispatcher/state_contracting_view/18165910" TargetMode="External"/><Relationship Id="rId97" Type="http://schemas.openxmlformats.org/officeDocument/2006/relationships/hyperlink" Target="https://my.zakupivli.pro/remote/dispatcher/state_contracting_view/17515801" TargetMode="External"/><Relationship Id="rId120" Type="http://schemas.openxmlformats.org/officeDocument/2006/relationships/hyperlink" Target="https://my.zakupivli.pro/remote/dispatcher/state_purchase_view/48072692" TargetMode="External"/><Relationship Id="rId358" Type="http://schemas.openxmlformats.org/officeDocument/2006/relationships/hyperlink" Target="https://my.zakupivli.pro/remote/dispatcher/state_purchase_view/43827860" TargetMode="External"/><Relationship Id="rId565" Type="http://schemas.openxmlformats.org/officeDocument/2006/relationships/hyperlink" Target="https://my.zakupivli.pro/remote/dispatcher/state_contracting_view/15257456" TargetMode="External"/><Relationship Id="rId162" Type="http://schemas.openxmlformats.org/officeDocument/2006/relationships/hyperlink" Target="https://my.zakupivli.pro/remote/dispatcher/state_purchase_view/45088345" TargetMode="External"/><Relationship Id="rId218" Type="http://schemas.openxmlformats.org/officeDocument/2006/relationships/hyperlink" Target="https://my.zakupivli.pro/remote/dispatcher/state_purchase_view/43123562" TargetMode="External"/><Relationship Id="rId425" Type="http://schemas.openxmlformats.org/officeDocument/2006/relationships/hyperlink" Target="https://my.zakupivli.pro/remote/dispatcher/state_contracting_view/17716942" TargetMode="External"/><Relationship Id="rId467" Type="http://schemas.openxmlformats.org/officeDocument/2006/relationships/hyperlink" Target="https://my.zakupivli.pro/remote/dispatcher/state_contracting_view/15583621" TargetMode="External"/><Relationship Id="rId632" Type="http://schemas.openxmlformats.org/officeDocument/2006/relationships/hyperlink" Target="https://my.zakupivli.pro/remote/dispatcher/state_purchase_view/43961488" TargetMode="External"/><Relationship Id="rId271" Type="http://schemas.openxmlformats.org/officeDocument/2006/relationships/hyperlink" Target="https://my.zakupivli.pro/remote/dispatcher/state_contracting_view/16821332" TargetMode="External"/><Relationship Id="rId24" Type="http://schemas.openxmlformats.org/officeDocument/2006/relationships/hyperlink" Target="https://my.zakupivli.pro/remote/dispatcher/state_purchase_view/39956129" TargetMode="External"/><Relationship Id="rId66" Type="http://schemas.openxmlformats.org/officeDocument/2006/relationships/hyperlink" Target="https://my.zakupivli.pro/remote/dispatcher/state_purchase_view/43453034" TargetMode="External"/><Relationship Id="rId131" Type="http://schemas.openxmlformats.org/officeDocument/2006/relationships/hyperlink" Target="https://my.zakupivli.pro/remote/dispatcher/state_contracting_view/15347468" TargetMode="External"/><Relationship Id="rId327" Type="http://schemas.openxmlformats.org/officeDocument/2006/relationships/hyperlink" Target="https://my.zakupivli.pro/remote/dispatcher/state_contracting_view/16886627" TargetMode="External"/><Relationship Id="rId369" Type="http://schemas.openxmlformats.org/officeDocument/2006/relationships/hyperlink" Target="https://my.zakupivli.pro/remote/dispatcher/state_contracting_view/16577748" TargetMode="External"/><Relationship Id="rId534" Type="http://schemas.openxmlformats.org/officeDocument/2006/relationships/hyperlink" Target="https://my.zakupivli.pro/remote/dispatcher/state_purchase_view/46629738" TargetMode="External"/><Relationship Id="rId576" Type="http://schemas.openxmlformats.org/officeDocument/2006/relationships/hyperlink" Target="https://my.zakupivli.pro/remote/dispatcher/state_purchase_view/44523782" TargetMode="External"/><Relationship Id="rId173" Type="http://schemas.openxmlformats.org/officeDocument/2006/relationships/hyperlink" Target="https://my.zakupivli.pro/remote/dispatcher/state_contracting_view/17866345" TargetMode="External"/><Relationship Id="rId229" Type="http://schemas.openxmlformats.org/officeDocument/2006/relationships/hyperlink" Target="https://my.zakupivli.pro/remote/dispatcher/state_contracting_view/17978249" TargetMode="External"/><Relationship Id="rId380" Type="http://schemas.openxmlformats.org/officeDocument/2006/relationships/hyperlink" Target="https://my.zakupivli.pro/remote/dispatcher/state_purchase_view/40013658" TargetMode="External"/><Relationship Id="rId436" Type="http://schemas.openxmlformats.org/officeDocument/2006/relationships/hyperlink" Target="https://my.zakupivli.pro/remote/dispatcher/state_purchase_view/46367304" TargetMode="External"/><Relationship Id="rId601" Type="http://schemas.openxmlformats.org/officeDocument/2006/relationships/hyperlink" Target="https://my.zakupivli.pro/remote/dispatcher/state_contracting_view/18567494" TargetMode="External"/><Relationship Id="rId643" Type="http://schemas.openxmlformats.org/officeDocument/2006/relationships/hyperlink" Target="https://my.zakupivli.pro/remote/dispatcher/state_contracting_view/15202847" TargetMode="External"/><Relationship Id="rId240" Type="http://schemas.openxmlformats.org/officeDocument/2006/relationships/hyperlink" Target="https://my.zakupivli.pro/remote/dispatcher/state_purchase_view/40168514" TargetMode="External"/><Relationship Id="rId478" Type="http://schemas.openxmlformats.org/officeDocument/2006/relationships/hyperlink" Target="https://my.zakupivli.pro/remote/dispatcher/state_purchase_view/39979539" TargetMode="External"/><Relationship Id="rId35" Type="http://schemas.openxmlformats.org/officeDocument/2006/relationships/hyperlink" Target="https://my.zakupivli.pro/remote/dispatcher/state_contracting_view/16143010" TargetMode="External"/><Relationship Id="rId77" Type="http://schemas.openxmlformats.org/officeDocument/2006/relationships/hyperlink" Target="https://my.zakupivli.pro/remote/dispatcher/state_contracting_view/18652049" TargetMode="External"/><Relationship Id="rId100" Type="http://schemas.openxmlformats.org/officeDocument/2006/relationships/hyperlink" Target="https://my.zakupivli.pro/remote/dispatcher/state_purchase_view/46625549" TargetMode="External"/><Relationship Id="rId282" Type="http://schemas.openxmlformats.org/officeDocument/2006/relationships/hyperlink" Target="https://my.zakupivli.pro/remote/dispatcher/state_purchase_view/43125148" TargetMode="External"/><Relationship Id="rId338" Type="http://schemas.openxmlformats.org/officeDocument/2006/relationships/hyperlink" Target="https://my.zakupivli.pro/remote/dispatcher/state_purchase_view/43454621" TargetMode="External"/><Relationship Id="rId503" Type="http://schemas.openxmlformats.org/officeDocument/2006/relationships/hyperlink" Target="https://my.zakupivli.pro/remote/dispatcher/state_contracting_view/18328217" TargetMode="External"/><Relationship Id="rId545" Type="http://schemas.openxmlformats.org/officeDocument/2006/relationships/hyperlink" Target="https://my.zakupivli.pro/remote/dispatcher/state_contracting_view/16510086" TargetMode="External"/><Relationship Id="rId587" Type="http://schemas.openxmlformats.org/officeDocument/2006/relationships/hyperlink" Target="https://my.zakupivli.pro/remote/dispatcher/state_contracting_view/17728674" TargetMode="External"/><Relationship Id="rId8" Type="http://schemas.openxmlformats.org/officeDocument/2006/relationships/hyperlink" Target="https://my.zakupivli.pro/remote/dispatcher/state_purchase_view/39968891" TargetMode="External"/><Relationship Id="rId142" Type="http://schemas.openxmlformats.org/officeDocument/2006/relationships/hyperlink" Target="https://my.zakupivli.pro/remote/dispatcher/state_purchase_view/40494844" TargetMode="External"/><Relationship Id="rId184" Type="http://schemas.openxmlformats.org/officeDocument/2006/relationships/hyperlink" Target="https://my.zakupivli.pro/remote/dispatcher/state_purchase_view/45304500" TargetMode="External"/><Relationship Id="rId391" Type="http://schemas.openxmlformats.org/officeDocument/2006/relationships/hyperlink" Target="https://my.zakupivli.pro/remote/dispatcher/state_contracting_view/18022172" TargetMode="External"/><Relationship Id="rId405" Type="http://schemas.openxmlformats.org/officeDocument/2006/relationships/hyperlink" Target="https://my.zakupivli.pro/remote/dispatcher/state_contracting_view/16022543" TargetMode="External"/><Relationship Id="rId447" Type="http://schemas.openxmlformats.org/officeDocument/2006/relationships/hyperlink" Target="https://my.zakupivli.pro/remote/dispatcher/state_contracting_view/16637291" TargetMode="External"/><Relationship Id="rId612" Type="http://schemas.openxmlformats.org/officeDocument/2006/relationships/hyperlink" Target="https://my.zakupivli.pro/remote/dispatcher/state_purchase_view/47010977" TargetMode="External"/><Relationship Id="rId251" Type="http://schemas.openxmlformats.org/officeDocument/2006/relationships/hyperlink" Target="https://my.zakupivli.pro/remote/dispatcher/state_contracting_view/16329240" TargetMode="External"/><Relationship Id="rId489" Type="http://schemas.openxmlformats.org/officeDocument/2006/relationships/hyperlink" Target="https://my.zakupivli.pro/remote/dispatcher/state_contracting_view/15257548" TargetMode="External"/><Relationship Id="rId46" Type="http://schemas.openxmlformats.org/officeDocument/2006/relationships/hyperlink" Target="https://my.zakupivli.pro/remote/dispatcher/state_purchase_view/42568969" TargetMode="External"/><Relationship Id="rId293" Type="http://schemas.openxmlformats.org/officeDocument/2006/relationships/hyperlink" Target="https://my.zakupivli.pro/remote/dispatcher/state_contracting_view/15512032" TargetMode="External"/><Relationship Id="rId307" Type="http://schemas.openxmlformats.org/officeDocument/2006/relationships/hyperlink" Target="https://my.zakupivli.pro/remote/dispatcher/state_contracting_view/17535558" TargetMode="External"/><Relationship Id="rId349" Type="http://schemas.openxmlformats.org/officeDocument/2006/relationships/hyperlink" Target="https://my.zakupivli.pro/remote/dispatcher/state_contracting_view/16569781" TargetMode="External"/><Relationship Id="rId514" Type="http://schemas.openxmlformats.org/officeDocument/2006/relationships/hyperlink" Target="https://my.zakupivli.pro/remote/dispatcher/state_purchase_view/46226940" TargetMode="External"/><Relationship Id="rId556" Type="http://schemas.openxmlformats.org/officeDocument/2006/relationships/hyperlink" Target="https://my.zakupivli.pro/remote/dispatcher/state_purchase_view/40487074" TargetMode="External"/><Relationship Id="rId88" Type="http://schemas.openxmlformats.org/officeDocument/2006/relationships/hyperlink" Target="https://my.zakupivli.pro/remote/dispatcher/state_purchase_view/41204061" TargetMode="External"/><Relationship Id="rId111" Type="http://schemas.openxmlformats.org/officeDocument/2006/relationships/hyperlink" Target="https://my.zakupivli.pro/remote/dispatcher/state_contracting_view/16932459" TargetMode="External"/><Relationship Id="rId153" Type="http://schemas.openxmlformats.org/officeDocument/2006/relationships/hyperlink" Target="https://my.zakupivli.pro/remote/dispatcher/state_contracting_view/15786799" TargetMode="External"/><Relationship Id="rId195" Type="http://schemas.openxmlformats.org/officeDocument/2006/relationships/hyperlink" Target="https://my.zakupivli.pro/remote/dispatcher/state_contracting_view/15907805" TargetMode="External"/><Relationship Id="rId209" Type="http://schemas.openxmlformats.org/officeDocument/2006/relationships/hyperlink" Target="https://my.zakupivli.pro/remote/dispatcher/state_contracting_view/17221061" TargetMode="External"/><Relationship Id="rId360" Type="http://schemas.openxmlformats.org/officeDocument/2006/relationships/hyperlink" Target="https://my.zakupivli.pro/remote/dispatcher/state_purchase_view/43492841" TargetMode="External"/><Relationship Id="rId416" Type="http://schemas.openxmlformats.org/officeDocument/2006/relationships/hyperlink" Target="https://my.zakupivli.pro/remote/dispatcher/state_purchase_view/43846514" TargetMode="External"/><Relationship Id="rId598" Type="http://schemas.openxmlformats.org/officeDocument/2006/relationships/hyperlink" Target="https://my.zakupivli.pro/remote/dispatcher/state_purchase_view/45456539" TargetMode="External"/><Relationship Id="rId220" Type="http://schemas.openxmlformats.org/officeDocument/2006/relationships/hyperlink" Target="https://my.zakupivli.pro/remote/dispatcher/state_purchase_view/40013208" TargetMode="External"/><Relationship Id="rId458" Type="http://schemas.openxmlformats.org/officeDocument/2006/relationships/hyperlink" Target="https://my.zakupivli.pro/remote/dispatcher/state_purchase_view/40488784" TargetMode="External"/><Relationship Id="rId623" Type="http://schemas.openxmlformats.org/officeDocument/2006/relationships/hyperlink" Target="https://my.zakupivli.pro/remote/dispatcher/state_contracting_view/18720206" TargetMode="External"/><Relationship Id="rId15" Type="http://schemas.openxmlformats.org/officeDocument/2006/relationships/hyperlink" Target="https://my.zakupivli.pro/remote/dispatcher/state_contracting_view/15681937" TargetMode="External"/><Relationship Id="rId57" Type="http://schemas.openxmlformats.org/officeDocument/2006/relationships/hyperlink" Target="https://my.zakupivli.pro/remote/dispatcher/state_contracting_view/17437079" TargetMode="External"/><Relationship Id="rId262" Type="http://schemas.openxmlformats.org/officeDocument/2006/relationships/hyperlink" Target="https://my.zakupivli.pro/remote/dispatcher/state_purchase_view/40051654" TargetMode="External"/><Relationship Id="rId318" Type="http://schemas.openxmlformats.org/officeDocument/2006/relationships/hyperlink" Target="https://my.zakupivli.pro/remote/dispatcher/state_purchase_view/47936779" TargetMode="External"/><Relationship Id="rId525" Type="http://schemas.openxmlformats.org/officeDocument/2006/relationships/hyperlink" Target="https://my.zakupivli.pro/remote/dispatcher/state_contracting_view/16956475" TargetMode="External"/><Relationship Id="rId567" Type="http://schemas.openxmlformats.org/officeDocument/2006/relationships/hyperlink" Target="https://my.zakupivli.pro/remote/dispatcher/state_contracting_view/15257693" TargetMode="External"/><Relationship Id="rId99" Type="http://schemas.openxmlformats.org/officeDocument/2006/relationships/hyperlink" Target="https://my.zakupivli.pro/remote/dispatcher/state_contracting_view/17273941" TargetMode="External"/><Relationship Id="rId122" Type="http://schemas.openxmlformats.org/officeDocument/2006/relationships/hyperlink" Target="https://my.zakupivli.pro/remote/dispatcher/state_purchase_view/46412490" TargetMode="External"/><Relationship Id="rId164" Type="http://schemas.openxmlformats.org/officeDocument/2006/relationships/hyperlink" Target="https://my.zakupivli.pro/remote/dispatcher/state_purchase_view/40850387" TargetMode="External"/><Relationship Id="rId371" Type="http://schemas.openxmlformats.org/officeDocument/2006/relationships/hyperlink" Target="https://my.zakupivli.pro/remote/dispatcher/state_contracting_view/17225839" TargetMode="External"/><Relationship Id="rId427" Type="http://schemas.openxmlformats.org/officeDocument/2006/relationships/hyperlink" Target="https://my.zakupivli.pro/remote/dispatcher/state_contracting_view/18720161" TargetMode="External"/><Relationship Id="rId469" Type="http://schemas.openxmlformats.org/officeDocument/2006/relationships/hyperlink" Target="https://my.zakupivli.pro/remote/dispatcher/state_contracting_view/16088904" TargetMode="External"/><Relationship Id="rId634" Type="http://schemas.openxmlformats.org/officeDocument/2006/relationships/hyperlink" Target="https://my.zakupivli.pro/remote/dispatcher/state_purchase_view/43980578" TargetMode="External"/><Relationship Id="rId26" Type="http://schemas.openxmlformats.org/officeDocument/2006/relationships/hyperlink" Target="https://my.zakupivli.pro/remote/dispatcher/state_purchase_view/40053485" TargetMode="External"/><Relationship Id="rId231" Type="http://schemas.openxmlformats.org/officeDocument/2006/relationships/hyperlink" Target="https://my.zakupivli.pro/remote/dispatcher/state_contracting_view/18391515" TargetMode="External"/><Relationship Id="rId273" Type="http://schemas.openxmlformats.org/officeDocument/2006/relationships/hyperlink" Target="https://my.zakupivli.pro/remote/dispatcher/state_contracting_view/16160786" TargetMode="External"/><Relationship Id="rId329" Type="http://schemas.openxmlformats.org/officeDocument/2006/relationships/hyperlink" Target="https://my.zakupivli.pro/remote/dispatcher/state_contracting_view/17602813" TargetMode="External"/><Relationship Id="rId480" Type="http://schemas.openxmlformats.org/officeDocument/2006/relationships/hyperlink" Target="https://my.zakupivli.pro/remote/dispatcher/state_purchase_view/40915904" TargetMode="External"/><Relationship Id="rId536" Type="http://schemas.openxmlformats.org/officeDocument/2006/relationships/hyperlink" Target="https://my.zakupivli.pro/remote/dispatcher/state_purchase_view/46286390" TargetMode="External"/><Relationship Id="rId68" Type="http://schemas.openxmlformats.org/officeDocument/2006/relationships/hyperlink" Target="https://my.zakupivli.pro/remote/dispatcher/state_purchase_view/43454279" TargetMode="External"/><Relationship Id="rId133" Type="http://schemas.openxmlformats.org/officeDocument/2006/relationships/hyperlink" Target="https://my.zakupivli.pro/remote/dispatcher/state_contracting_view/16237445" TargetMode="External"/><Relationship Id="rId175" Type="http://schemas.openxmlformats.org/officeDocument/2006/relationships/hyperlink" Target="https://my.zakupivli.pro/remote/dispatcher/state_contracting_view/18005656" TargetMode="External"/><Relationship Id="rId340" Type="http://schemas.openxmlformats.org/officeDocument/2006/relationships/hyperlink" Target="https://my.zakupivli.pro/remote/dispatcher/state_purchase_view/40375959" TargetMode="External"/><Relationship Id="rId578" Type="http://schemas.openxmlformats.org/officeDocument/2006/relationships/hyperlink" Target="https://my.zakupivli.pro/remote/dispatcher/state_purchase_view/40275305" TargetMode="External"/><Relationship Id="rId200" Type="http://schemas.openxmlformats.org/officeDocument/2006/relationships/hyperlink" Target="https://my.zakupivli.pro/remote/dispatcher/state_purchase_view/44168925" TargetMode="External"/><Relationship Id="rId382" Type="http://schemas.openxmlformats.org/officeDocument/2006/relationships/hyperlink" Target="https://my.zakupivli.pro/remote/dispatcher/state_purchase_view/47125961" TargetMode="External"/><Relationship Id="rId438" Type="http://schemas.openxmlformats.org/officeDocument/2006/relationships/hyperlink" Target="https://my.zakupivli.pro/remote/dispatcher/state_purchase_view/44989949" TargetMode="External"/><Relationship Id="rId603" Type="http://schemas.openxmlformats.org/officeDocument/2006/relationships/hyperlink" Target="https://my.zakupivli.pro/remote/dispatcher/state_contracting_view/18054642" TargetMode="External"/><Relationship Id="rId242" Type="http://schemas.openxmlformats.org/officeDocument/2006/relationships/hyperlink" Target="https://my.zakupivli.pro/remote/dispatcher/state_purchase_view/41400745" TargetMode="External"/><Relationship Id="rId284" Type="http://schemas.openxmlformats.org/officeDocument/2006/relationships/hyperlink" Target="https://my.zakupivli.pro/remote/dispatcher/state_purchase_view/43124739" TargetMode="External"/><Relationship Id="rId491" Type="http://schemas.openxmlformats.org/officeDocument/2006/relationships/hyperlink" Target="https://my.zakupivli.pro/remote/dispatcher/state_contracting_view/15256261" TargetMode="External"/><Relationship Id="rId505" Type="http://schemas.openxmlformats.org/officeDocument/2006/relationships/hyperlink" Target="https://my.zakupivli.pro/remote/dispatcher/state_contracting_view/16445895" TargetMode="External"/><Relationship Id="rId37" Type="http://schemas.openxmlformats.org/officeDocument/2006/relationships/hyperlink" Target="https://my.zakupivli.pro/remote/dispatcher/state_contracting_view/17131487" TargetMode="External"/><Relationship Id="rId79" Type="http://schemas.openxmlformats.org/officeDocument/2006/relationships/hyperlink" Target="https://my.zakupivli.pro/remote/dispatcher/state_contracting_view/16445197" TargetMode="External"/><Relationship Id="rId102" Type="http://schemas.openxmlformats.org/officeDocument/2006/relationships/hyperlink" Target="https://my.zakupivli.pro/remote/dispatcher/state_purchase_view/45924601" TargetMode="External"/><Relationship Id="rId144" Type="http://schemas.openxmlformats.org/officeDocument/2006/relationships/hyperlink" Target="https://my.zakupivli.pro/remote/dispatcher/state_purchase_view/40969310" TargetMode="External"/><Relationship Id="rId547" Type="http://schemas.openxmlformats.org/officeDocument/2006/relationships/hyperlink" Target="https://my.zakupivli.pro/remote/dispatcher/state_contracting_view/18323488" TargetMode="External"/><Relationship Id="rId589" Type="http://schemas.openxmlformats.org/officeDocument/2006/relationships/hyperlink" Target="https://my.zakupivli.pro/remote/dispatcher/state_contracting_view/17769720" TargetMode="External"/><Relationship Id="rId90" Type="http://schemas.openxmlformats.org/officeDocument/2006/relationships/hyperlink" Target="https://my.zakupivli.pro/remote/dispatcher/state_purchase_view/47158665" TargetMode="External"/><Relationship Id="rId186" Type="http://schemas.openxmlformats.org/officeDocument/2006/relationships/hyperlink" Target="https://my.zakupivli.pro/remote/dispatcher/state_purchase_view/45316539" TargetMode="External"/><Relationship Id="rId351" Type="http://schemas.openxmlformats.org/officeDocument/2006/relationships/hyperlink" Target="https://my.zakupivli.pro/remote/dispatcher/state_contracting_view/16640348" TargetMode="External"/><Relationship Id="rId393" Type="http://schemas.openxmlformats.org/officeDocument/2006/relationships/hyperlink" Target="https://my.zakupivli.pro/remote/dispatcher/state_contracting_view/17826097" TargetMode="External"/><Relationship Id="rId407" Type="http://schemas.openxmlformats.org/officeDocument/2006/relationships/hyperlink" Target="https://my.zakupivli.pro/remote/dispatcher/state_contracting_view/17558249" TargetMode="External"/><Relationship Id="rId449" Type="http://schemas.openxmlformats.org/officeDocument/2006/relationships/hyperlink" Target="https://my.zakupivli.pro/remote/dispatcher/state_contracting_view/17770810" TargetMode="External"/><Relationship Id="rId614" Type="http://schemas.openxmlformats.org/officeDocument/2006/relationships/hyperlink" Target="https://my.zakupivli.pro/remote/dispatcher/state_purchase_view/41957032" TargetMode="External"/><Relationship Id="rId211" Type="http://schemas.openxmlformats.org/officeDocument/2006/relationships/hyperlink" Target="https://my.zakupivli.pro/remote/dispatcher/state_contracting_view/15458886" TargetMode="External"/><Relationship Id="rId253" Type="http://schemas.openxmlformats.org/officeDocument/2006/relationships/hyperlink" Target="https://my.zakupivli.pro/remote/dispatcher/state_contracting_view/17579947" TargetMode="External"/><Relationship Id="rId295" Type="http://schemas.openxmlformats.org/officeDocument/2006/relationships/hyperlink" Target="https://my.zakupivli.pro/remote/dispatcher/state_contracting_view/15454267" TargetMode="External"/><Relationship Id="rId309" Type="http://schemas.openxmlformats.org/officeDocument/2006/relationships/hyperlink" Target="https://my.zakupivli.pro/remote/dispatcher/state_contracting_view/17752060" TargetMode="External"/><Relationship Id="rId460" Type="http://schemas.openxmlformats.org/officeDocument/2006/relationships/hyperlink" Target="https://my.zakupivli.pro/remote/dispatcher/state_purchase_view/40598429" TargetMode="External"/><Relationship Id="rId516" Type="http://schemas.openxmlformats.org/officeDocument/2006/relationships/hyperlink" Target="https://my.zakupivli.pro/remote/dispatcher/state_purchase_view/43119523" TargetMode="External"/><Relationship Id="rId48" Type="http://schemas.openxmlformats.org/officeDocument/2006/relationships/hyperlink" Target="https://my.zakupivli.pro/remote/dispatcher/state_purchase_view/42568976" TargetMode="External"/><Relationship Id="rId113" Type="http://schemas.openxmlformats.org/officeDocument/2006/relationships/hyperlink" Target="https://my.zakupivli.pro/remote/dispatcher/state_contracting_view/16403099" TargetMode="External"/><Relationship Id="rId320" Type="http://schemas.openxmlformats.org/officeDocument/2006/relationships/hyperlink" Target="https://my.zakupivli.pro/remote/dispatcher/state_purchase_view/47307327" TargetMode="External"/><Relationship Id="rId558" Type="http://schemas.openxmlformats.org/officeDocument/2006/relationships/hyperlink" Target="https://my.zakupivli.pro/remote/dispatcher/state_purchase_view/40483482" TargetMode="External"/><Relationship Id="rId155" Type="http://schemas.openxmlformats.org/officeDocument/2006/relationships/hyperlink" Target="https://my.zakupivli.pro/remote/dispatcher/state_contracting_view/15799356" TargetMode="External"/><Relationship Id="rId197" Type="http://schemas.openxmlformats.org/officeDocument/2006/relationships/hyperlink" Target="https://my.zakupivli.pro/remote/dispatcher/state_contracting_view/16065680" TargetMode="External"/><Relationship Id="rId362" Type="http://schemas.openxmlformats.org/officeDocument/2006/relationships/hyperlink" Target="https://my.zakupivli.pro/remote/dispatcher/state_purchase_view/44560230" TargetMode="External"/><Relationship Id="rId418" Type="http://schemas.openxmlformats.org/officeDocument/2006/relationships/hyperlink" Target="https://my.zakupivli.pro/remote/dispatcher/state_purchase_view/43992518" TargetMode="External"/><Relationship Id="rId625" Type="http://schemas.openxmlformats.org/officeDocument/2006/relationships/hyperlink" Target="https://my.zakupivli.pro/remote/dispatcher/state_contracting_view/18093416" TargetMode="External"/><Relationship Id="rId222" Type="http://schemas.openxmlformats.org/officeDocument/2006/relationships/hyperlink" Target="https://my.zakupivli.pro/remote/dispatcher/state_purchase_view/43455924" TargetMode="External"/><Relationship Id="rId264" Type="http://schemas.openxmlformats.org/officeDocument/2006/relationships/hyperlink" Target="https://my.zakupivli.pro/remote/dispatcher/state_purchase_view/41309261" TargetMode="External"/><Relationship Id="rId471" Type="http://schemas.openxmlformats.org/officeDocument/2006/relationships/hyperlink" Target="https://my.zakupivli.pro/remote/dispatcher/state_contracting_view/15878064" TargetMode="External"/><Relationship Id="rId17" Type="http://schemas.openxmlformats.org/officeDocument/2006/relationships/hyperlink" Target="https://my.zakupivli.pro/remote/dispatcher/state_contracting_view/15682223" TargetMode="External"/><Relationship Id="rId59" Type="http://schemas.openxmlformats.org/officeDocument/2006/relationships/hyperlink" Target="https://my.zakupivli.pro/remote/dispatcher/state_contracting_view/18375108" TargetMode="External"/><Relationship Id="rId124" Type="http://schemas.openxmlformats.org/officeDocument/2006/relationships/hyperlink" Target="https://my.zakupivli.pro/remote/dispatcher/state_purchase_view/41266623" TargetMode="External"/><Relationship Id="rId527" Type="http://schemas.openxmlformats.org/officeDocument/2006/relationships/hyperlink" Target="https://my.zakupivli.pro/remote/dispatcher/state_contracting_view/16329349" TargetMode="External"/><Relationship Id="rId569" Type="http://schemas.openxmlformats.org/officeDocument/2006/relationships/hyperlink" Target="https://my.zakupivli.pro/remote/dispatcher/state_contracting_view/15558020" TargetMode="External"/><Relationship Id="rId70" Type="http://schemas.openxmlformats.org/officeDocument/2006/relationships/hyperlink" Target="https://my.zakupivli.pro/remote/dispatcher/state_purchase_view/43488079" TargetMode="External"/><Relationship Id="rId166" Type="http://schemas.openxmlformats.org/officeDocument/2006/relationships/hyperlink" Target="https://my.zakupivli.pro/remote/dispatcher/state_purchase_view/42884866" TargetMode="External"/><Relationship Id="rId331" Type="http://schemas.openxmlformats.org/officeDocument/2006/relationships/hyperlink" Target="https://my.zakupivli.pro/remote/dispatcher/state_contracting_view/17467392" TargetMode="External"/><Relationship Id="rId373" Type="http://schemas.openxmlformats.org/officeDocument/2006/relationships/hyperlink" Target="https://my.zakupivli.pro/remote/dispatcher/state_contracting_view/18292207" TargetMode="External"/><Relationship Id="rId429" Type="http://schemas.openxmlformats.org/officeDocument/2006/relationships/hyperlink" Target="https://my.zakupivli.pro/remote/dispatcher/state_contracting_view/17698446" TargetMode="External"/><Relationship Id="rId580" Type="http://schemas.openxmlformats.org/officeDocument/2006/relationships/hyperlink" Target="https://my.zakupivli.pro/remote/dispatcher/state_purchase_view/43709463" TargetMode="External"/><Relationship Id="rId636" Type="http://schemas.openxmlformats.org/officeDocument/2006/relationships/hyperlink" Target="https://my.zakupivli.pro/remote/dispatcher/state_purchase_view/45315702" TargetMode="External"/><Relationship Id="rId1" Type="http://schemas.openxmlformats.org/officeDocument/2006/relationships/hyperlink" Target="mailto:report-feedback@zakupivli.pro" TargetMode="External"/><Relationship Id="rId233" Type="http://schemas.openxmlformats.org/officeDocument/2006/relationships/hyperlink" Target="https://my.zakupivli.pro/remote/dispatcher/state_contracting_view/15332082" TargetMode="External"/><Relationship Id="rId440" Type="http://schemas.openxmlformats.org/officeDocument/2006/relationships/hyperlink" Target="https://my.zakupivli.pro/remote/dispatcher/state_purchase_view/43638613" TargetMode="External"/><Relationship Id="rId28" Type="http://schemas.openxmlformats.org/officeDocument/2006/relationships/hyperlink" Target="https://my.zakupivli.pro/remote/dispatcher/state_purchase_view/40048577" TargetMode="External"/><Relationship Id="rId275" Type="http://schemas.openxmlformats.org/officeDocument/2006/relationships/hyperlink" Target="https://my.zakupivli.pro/remote/dispatcher/state_contracting_view/16446362" TargetMode="External"/><Relationship Id="rId300" Type="http://schemas.openxmlformats.org/officeDocument/2006/relationships/hyperlink" Target="https://my.zakupivli.pro/remote/dispatcher/state_purchase_view/44596570" TargetMode="External"/><Relationship Id="rId482" Type="http://schemas.openxmlformats.org/officeDocument/2006/relationships/hyperlink" Target="https://my.zakupivli.pro/remote/dispatcher/state_purchase_view/40997948" TargetMode="External"/><Relationship Id="rId538" Type="http://schemas.openxmlformats.org/officeDocument/2006/relationships/hyperlink" Target="https://my.zakupivli.pro/remote/dispatcher/state_purchase_view/40992732" TargetMode="External"/><Relationship Id="rId81" Type="http://schemas.openxmlformats.org/officeDocument/2006/relationships/hyperlink" Target="https://my.zakupivli.pro/remote/dispatcher/state_contracting_view/18159876" TargetMode="External"/><Relationship Id="rId135" Type="http://schemas.openxmlformats.org/officeDocument/2006/relationships/hyperlink" Target="https://my.zakupivli.pro/remote/dispatcher/state_contracting_view/18242873" TargetMode="External"/><Relationship Id="rId177" Type="http://schemas.openxmlformats.org/officeDocument/2006/relationships/hyperlink" Target="https://my.zakupivli.pro/remote/dispatcher/state_contracting_view/18728377" TargetMode="External"/><Relationship Id="rId342" Type="http://schemas.openxmlformats.org/officeDocument/2006/relationships/hyperlink" Target="https://my.zakupivli.pro/remote/dispatcher/state_purchase_view/41309779" TargetMode="External"/><Relationship Id="rId384" Type="http://schemas.openxmlformats.org/officeDocument/2006/relationships/hyperlink" Target="https://my.zakupivli.pro/remote/dispatcher/state_purchase_view/46952620" TargetMode="External"/><Relationship Id="rId591" Type="http://schemas.openxmlformats.org/officeDocument/2006/relationships/hyperlink" Target="https://my.zakupivli.pro/remote/dispatcher/state_contracting_view/17349551" TargetMode="External"/><Relationship Id="rId605" Type="http://schemas.openxmlformats.org/officeDocument/2006/relationships/hyperlink" Target="https://my.zakupivli.pro/remote/dispatcher/state_contracting_view/17468854" TargetMode="External"/><Relationship Id="rId202" Type="http://schemas.openxmlformats.org/officeDocument/2006/relationships/hyperlink" Target="https://my.zakupivli.pro/remote/dispatcher/state_purchase_view/44103421" TargetMode="External"/><Relationship Id="rId244" Type="http://schemas.openxmlformats.org/officeDocument/2006/relationships/hyperlink" Target="https://my.zakupivli.pro/remote/dispatcher/state_purchase_view/40482446" TargetMode="External"/><Relationship Id="rId39" Type="http://schemas.openxmlformats.org/officeDocument/2006/relationships/hyperlink" Target="https://my.zakupivli.pro/remote/dispatcher/state_contracting_view/16237190" TargetMode="External"/><Relationship Id="rId286" Type="http://schemas.openxmlformats.org/officeDocument/2006/relationships/hyperlink" Target="https://my.zakupivli.pro/remote/dispatcher/state_purchase_view/44917027" TargetMode="External"/><Relationship Id="rId451" Type="http://schemas.openxmlformats.org/officeDocument/2006/relationships/hyperlink" Target="https://my.zakupivli.pro/remote/dispatcher/state_contracting_view/15252393" TargetMode="External"/><Relationship Id="rId493" Type="http://schemas.openxmlformats.org/officeDocument/2006/relationships/hyperlink" Target="https://my.zakupivli.pro/remote/dispatcher/state_contracting_view/15964511" TargetMode="External"/><Relationship Id="rId507" Type="http://schemas.openxmlformats.org/officeDocument/2006/relationships/hyperlink" Target="https://my.zakupivli.pro/remote/dispatcher/state_contracting_view/16821947" TargetMode="External"/><Relationship Id="rId549" Type="http://schemas.openxmlformats.org/officeDocument/2006/relationships/hyperlink" Target="https://my.zakupivli.pro/remote/dispatcher/state_contracting_view/16326745" TargetMode="External"/><Relationship Id="rId50" Type="http://schemas.openxmlformats.org/officeDocument/2006/relationships/hyperlink" Target="https://my.zakupivli.pro/remote/dispatcher/state_purchase_view/45633099" TargetMode="External"/><Relationship Id="rId104" Type="http://schemas.openxmlformats.org/officeDocument/2006/relationships/hyperlink" Target="https://my.zakupivli.pro/remote/dispatcher/state_purchase_view/46252837" TargetMode="External"/><Relationship Id="rId146" Type="http://schemas.openxmlformats.org/officeDocument/2006/relationships/hyperlink" Target="https://my.zakupivli.pro/remote/dispatcher/state_purchase_view/41945376" TargetMode="External"/><Relationship Id="rId188" Type="http://schemas.openxmlformats.org/officeDocument/2006/relationships/hyperlink" Target="https://my.zakupivli.pro/remote/dispatcher/state_purchase_view/42876117" TargetMode="External"/><Relationship Id="rId311" Type="http://schemas.openxmlformats.org/officeDocument/2006/relationships/hyperlink" Target="https://my.zakupivli.pro/remote/dispatcher/state_contracting_view/17460689" TargetMode="External"/><Relationship Id="rId353" Type="http://schemas.openxmlformats.org/officeDocument/2006/relationships/hyperlink" Target="https://my.zakupivli.pro/remote/dispatcher/state_contracting_view/17349825" TargetMode="External"/><Relationship Id="rId395" Type="http://schemas.openxmlformats.org/officeDocument/2006/relationships/hyperlink" Target="https://my.zakupivli.pro/remote/dispatcher/state_contracting_view/18156766" TargetMode="External"/><Relationship Id="rId409" Type="http://schemas.openxmlformats.org/officeDocument/2006/relationships/hyperlink" Target="https://my.zakupivli.pro/remote/dispatcher/state_contracting_view/15786891" TargetMode="External"/><Relationship Id="rId560" Type="http://schemas.openxmlformats.org/officeDocument/2006/relationships/hyperlink" Target="https://my.zakupivli.pro/remote/dispatcher/state_purchase_view/40928133" TargetMode="External"/><Relationship Id="rId92" Type="http://schemas.openxmlformats.org/officeDocument/2006/relationships/hyperlink" Target="https://my.zakupivli.pro/remote/dispatcher/state_purchase_view/44713200" TargetMode="External"/><Relationship Id="rId213" Type="http://schemas.openxmlformats.org/officeDocument/2006/relationships/hyperlink" Target="https://my.zakupivli.pro/remote/dispatcher/state_contracting_view/17752850" TargetMode="External"/><Relationship Id="rId420" Type="http://schemas.openxmlformats.org/officeDocument/2006/relationships/hyperlink" Target="https://my.zakupivli.pro/remote/dispatcher/state_purchase_view/43992928" TargetMode="External"/><Relationship Id="rId616" Type="http://schemas.openxmlformats.org/officeDocument/2006/relationships/hyperlink" Target="https://my.zakupivli.pro/remote/dispatcher/state_purchase_view/46196975" TargetMode="External"/><Relationship Id="rId255" Type="http://schemas.openxmlformats.org/officeDocument/2006/relationships/hyperlink" Target="https://my.zakupivli.pro/remote/dispatcher/state_contracting_view/15822821" TargetMode="External"/><Relationship Id="rId297" Type="http://schemas.openxmlformats.org/officeDocument/2006/relationships/hyperlink" Target="https://my.zakupivli.pro/remote/dispatcher/state_contracting_view/16247634" TargetMode="External"/><Relationship Id="rId462" Type="http://schemas.openxmlformats.org/officeDocument/2006/relationships/hyperlink" Target="https://my.zakupivli.pro/remote/dispatcher/state_purchase_view/40494523" TargetMode="External"/><Relationship Id="rId518" Type="http://schemas.openxmlformats.org/officeDocument/2006/relationships/hyperlink" Target="https://my.zakupivli.pro/remote/dispatcher/state_purchase_view/42021150" TargetMode="External"/><Relationship Id="rId115" Type="http://schemas.openxmlformats.org/officeDocument/2006/relationships/hyperlink" Target="https://my.zakupivli.pro/remote/dispatcher/state_contracting_view/16631902" TargetMode="External"/><Relationship Id="rId157" Type="http://schemas.openxmlformats.org/officeDocument/2006/relationships/hyperlink" Target="https://my.zakupivli.pro/remote/dispatcher/state_contracting_view/15838846" TargetMode="External"/><Relationship Id="rId322" Type="http://schemas.openxmlformats.org/officeDocument/2006/relationships/hyperlink" Target="https://my.zakupivli.pro/remote/dispatcher/state_purchase_view/48047834" TargetMode="External"/><Relationship Id="rId364" Type="http://schemas.openxmlformats.org/officeDocument/2006/relationships/hyperlink" Target="https://my.zakupivli.pro/remote/dispatcher/state_purchase_view/42848092" TargetMode="External"/><Relationship Id="rId61" Type="http://schemas.openxmlformats.org/officeDocument/2006/relationships/hyperlink" Target="https://my.zakupivli.pro/remote/dispatcher/state_contracting_view/18328298" TargetMode="External"/><Relationship Id="rId199" Type="http://schemas.openxmlformats.org/officeDocument/2006/relationships/hyperlink" Target="https://my.zakupivli.pro/remote/dispatcher/state_contracting_view/16950651" TargetMode="External"/><Relationship Id="rId571" Type="http://schemas.openxmlformats.org/officeDocument/2006/relationships/hyperlink" Target="https://my.zakupivli.pro/remote/dispatcher/state_contracting_view/16477390" TargetMode="External"/><Relationship Id="rId627" Type="http://schemas.openxmlformats.org/officeDocument/2006/relationships/hyperlink" Target="https://my.zakupivli.pro/remote/dispatcher/state_contracting_view/18020544" TargetMode="External"/><Relationship Id="rId19" Type="http://schemas.openxmlformats.org/officeDocument/2006/relationships/hyperlink" Target="https://my.zakupivli.pro/remote/dispatcher/state_contracting_view/15798956" TargetMode="External"/><Relationship Id="rId224" Type="http://schemas.openxmlformats.org/officeDocument/2006/relationships/hyperlink" Target="https://my.zakupivli.pro/remote/dispatcher/state_purchase_view/42880178" TargetMode="External"/><Relationship Id="rId266" Type="http://schemas.openxmlformats.org/officeDocument/2006/relationships/hyperlink" Target="https://my.zakupivli.pro/remote/dispatcher/state_purchase_view/41309546" TargetMode="External"/><Relationship Id="rId431" Type="http://schemas.openxmlformats.org/officeDocument/2006/relationships/hyperlink" Target="https://my.zakupivli.pro/remote/dispatcher/state_contracting_view/17665604" TargetMode="External"/><Relationship Id="rId473" Type="http://schemas.openxmlformats.org/officeDocument/2006/relationships/hyperlink" Target="https://my.zakupivli.pro/remote/dispatcher/state_contracting_view/15877970" TargetMode="External"/><Relationship Id="rId529" Type="http://schemas.openxmlformats.org/officeDocument/2006/relationships/hyperlink" Target="https://my.zakupivli.pro/remote/dispatcher/state_contracting_view/15377516" TargetMode="External"/><Relationship Id="rId30" Type="http://schemas.openxmlformats.org/officeDocument/2006/relationships/hyperlink" Target="https://my.zakupivli.pro/remote/dispatcher/state_purchase_view/40079113" TargetMode="External"/><Relationship Id="rId126" Type="http://schemas.openxmlformats.org/officeDocument/2006/relationships/hyperlink" Target="https://my.zakupivli.pro/remote/dispatcher/state_purchase_view/41826499" TargetMode="External"/><Relationship Id="rId168" Type="http://schemas.openxmlformats.org/officeDocument/2006/relationships/hyperlink" Target="https://my.zakupivli.pro/remote/dispatcher/state_purchase_view/44517287" TargetMode="External"/><Relationship Id="rId333" Type="http://schemas.openxmlformats.org/officeDocument/2006/relationships/hyperlink" Target="https://my.zakupivli.pro/remote/dispatcher/state_contracting_view/17086689" TargetMode="External"/><Relationship Id="rId540" Type="http://schemas.openxmlformats.org/officeDocument/2006/relationships/hyperlink" Target="https://my.zakupivli.pro/remote/dispatcher/state_purchase_view/42456546" TargetMode="External"/><Relationship Id="rId72" Type="http://schemas.openxmlformats.org/officeDocument/2006/relationships/hyperlink" Target="https://my.zakupivli.pro/remote/dispatcher/state_purchase_view/42880792" TargetMode="External"/><Relationship Id="rId375" Type="http://schemas.openxmlformats.org/officeDocument/2006/relationships/hyperlink" Target="https://my.zakupivli.pro/remote/dispatcher/state_contracting_view/15332364" TargetMode="External"/><Relationship Id="rId582" Type="http://schemas.openxmlformats.org/officeDocument/2006/relationships/hyperlink" Target="https://my.zakupivli.pro/remote/dispatcher/state_purchase_view/43991927" TargetMode="External"/><Relationship Id="rId638" Type="http://schemas.openxmlformats.org/officeDocument/2006/relationships/hyperlink" Target="https://my.zakupivli.pro/remote/dispatcher/state_purchase_view/39954500" TargetMode="External"/><Relationship Id="rId3" Type="http://schemas.openxmlformats.org/officeDocument/2006/relationships/hyperlink" Target="https://my.zakupivli.pro/remote/dispatcher/state_contracting_view/15348144" TargetMode="External"/><Relationship Id="rId235" Type="http://schemas.openxmlformats.org/officeDocument/2006/relationships/hyperlink" Target="https://my.zakupivli.pro/remote/dispatcher/state_contracting_view/15257655" TargetMode="External"/><Relationship Id="rId277" Type="http://schemas.openxmlformats.org/officeDocument/2006/relationships/hyperlink" Target="https://my.zakupivli.pro/remote/dispatcher/state_contracting_view/15557402" TargetMode="External"/><Relationship Id="rId400" Type="http://schemas.openxmlformats.org/officeDocument/2006/relationships/hyperlink" Target="https://my.zakupivli.pro/remote/dispatcher/state_purchase_view/41756766" TargetMode="External"/><Relationship Id="rId442" Type="http://schemas.openxmlformats.org/officeDocument/2006/relationships/hyperlink" Target="https://my.zakupivli.pro/remote/dispatcher/state_purchase_view/42691496" TargetMode="External"/><Relationship Id="rId484" Type="http://schemas.openxmlformats.org/officeDocument/2006/relationships/hyperlink" Target="https://my.zakupivli.pro/remote/dispatcher/state_purchase_view/40004294" TargetMode="External"/><Relationship Id="rId137" Type="http://schemas.openxmlformats.org/officeDocument/2006/relationships/hyperlink" Target="https://my.zakupivli.pro/remote/dispatcher/state_contracting_view/17556104" TargetMode="External"/><Relationship Id="rId302" Type="http://schemas.openxmlformats.org/officeDocument/2006/relationships/hyperlink" Target="https://my.zakupivli.pro/remote/dispatcher/state_purchase_view/41394216" TargetMode="External"/><Relationship Id="rId344" Type="http://schemas.openxmlformats.org/officeDocument/2006/relationships/hyperlink" Target="https://my.zakupivli.pro/remote/dispatcher/state_purchase_view/43644137" TargetMode="External"/><Relationship Id="rId41" Type="http://schemas.openxmlformats.org/officeDocument/2006/relationships/hyperlink" Target="https://my.zakupivli.pro/remote/dispatcher/state_contracting_view/16446998" TargetMode="External"/><Relationship Id="rId83" Type="http://schemas.openxmlformats.org/officeDocument/2006/relationships/hyperlink" Target="https://my.zakupivli.pro/remote/dispatcher/state_contracting_view/18305120" TargetMode="External"/><Relationship Id="rId179" Type="http://schemas.openxmlformats.org/officeDocument/2006/relationships/hyperlink" Target="https://my.zakupivli.pro/remote/dispatcher/state_contracting_view/18721137" TargetMode="External"/><Relationship Id="rId386" Type="http://schemas.openxmlformats.org/officeDocument/2006/relationships/hyperlink" Target="https://my.zakupivli.pro/remote/dispatcher/state_purchase_view/42880512" TargetMode="External"/><Relationship Id="rId551" Type="http://schemas.openxmlformats.org/officeDocument/2006/relationships/hyperlink" Target="https://my.zakupivli.pro/remote/dispatcher/state_contracting_view/18682988" TargetMode="External"/><Relationship Id="rId593" Type="http://schemas.openxmlformats.org/officeDocument/2006/relationships/hyperlink" Target="https://my.zakupivli.pro/remote/dispatcher/state_contracting_view/17348376" TargetMode="External"/><Relationship Id="rId607" Type="http://schemas.openxmlformats.org/officeDocument/2006/relationships/hyperlink" Target="https://my.zakupivli.pro/remote/dispatcher/state_contracting_view/18417771" TargetMode="External"/><Relationship Id="rId190" Type="http://schemas.openxmlformats.org/officeDocument/2006/relationships/hyperlink" Target="https://my.zakupivli.pro/remote/dispatcher/state_purchase_view/42884899" TargetMode="External"/><Relationship Id="rId204" Type="http://schemas.openxmlformats.org/officeDocument/2006/relationships/hyperlink" Target="https://my.zakupivli.pro/remote/dispatcher/state_purchase_view/43546900" TargetMode="External"/><Relationship Id="rId246" Type="http://schemas.openxmlformats.org/officeDocument/2006/relationships/hyperlink" Target="https://my.zakupivli.pro/remote/dispatcher/state_purchase_view/41122211" TargetMode="External"/><Relationship Id="rId288" Type="http://schemas.openxmlformats.org/officeDocument/2006/relationships/hyperlink" Target="https://my.zakupivli.pro/remote/dispatcher/state_purchase_view/44559050" TargetMode="External"/><Relationship Id="rId411" Type="http://schemas.openxmlformats.org/officeDocument/2006/relationships/hyperlink" Target="https://my.zakupivli.pro/remote/dispatcher/state_contracting_view/16510576" TargetMode="External"/><Relationship Id="rId453" Type="http://schemas.openxmlformats.org/officeDocument/2006/relationships/hyperlink" Target="https://my.zakupivli.pro/remote/dispatcher/state_contracting_view/16034808" TargetMode="External"/><Relationship Id="rId509" Type="http://schemas.openxmlformats.org/officeDocument/2006/relationships/hyperlink" Target="https://my.zakupivli.pro/remote/dispatcher/state_contracting_view/17531219" TargetMode="External"/><Relationship Id="rId106" Type="http://schemas.openxmlformats.org/officeDocument/2006/relationships/hyperlink" Target="https://my.zakupivli.pro/remote/dispatcher/state_purchase_view/47156688" TargetMode="External"/><Relationship Id="rId313" Type="http://schemas.openxmlformats.org/officeDocument/2006/relationships/hyperlink" Target="https://my.zakupivli.pro/remote/dispatcher/state_contracting_view/17478960" TargetMode="External"/><Relationship Id="rId495" Type="http://schemas.openxmlformats.org/officeDocument/2006/relationships/hyperlink" Target="https://my.zakupivli.pro/remote/dispatcher/state_contracting_view/15951719" TargetMode="External"/><Relationship Id="rId10" Type="http://schemas.openxmlformats.org/officeDocument/2006/relationships/hyperlink" Target="https://my.zakupivli.pro/remote/dispatcher/state_purchase_view/40775317" TargetMode="External"/><Relationship Id="rId52" Type="http://schemas.openxmlformats.org/officeDocument/2006/relationships/hyperlink" Target="https://my.zakupivli.pro/remote/dispatcher/state_purchase_view/46290725" TargetMode="External"/><Relationship Id="rId94" Type="http://schemas.openxmlformats.org/officeDocument/2006/relationships/hyperlink" Target="https://my.zakupivli.pro/remote/dispatcher/state_purchase_view/45117388" TargetMode="External"/><Relationship Id="rId148" Type="http://schemas.openxmlformats.org/officeDocument/2006/relationships/hyperlink" Target="https://my.zakupivli.pro/remote/dispatcher/state_purchase_view/40222037" TargetMode="External"/><Relationship Id="rId355" Type="http://schemas.openxmlformats.org/officeDocument/2006/relationships/hyperlink" Target="https://my.zakupivli.pro/remote/dispatcher/state_contracting_view/17348968" TargetMode="External"/><Relationship Id="rId397" Type="http://schemas.openxmlformats.org/officeDocument/2006/relationships/hyperlink" Target="https://my.zakupivli.pro/remote/dispatcher/state_contracting_view/15589900" TargetMode="External"/><Relationship Id="rId520" Type="http://schemas.openxmlformats.org/officeDocument/2006/relationships/hyperlink" Target="https://my.zakupivli.pro/remote/dispatcher/state_purchase_view/42071084" TargetMode="External"/><Relationship Id="rId562" Type="http://schemas.openxmlformats.org/officeDocument/2006/relationships/hyperlink" Target="https://my.zakupivli.pro/remote/dispatcher/state_purchase_view/40072300" TargetMode="External"/><Relationship Id="rId618" Type="http://schemas.openxmlformats.org/officeDocument/2006/relationships/hyperlink" Target="https://my.zakupivli.pro/remote/dispatcher/state_purchase_view/46810864" TargetMode="External"/><Relationship Id="rId215" Type="http://schemas.openxmlformats.org/officeDocument/2006/relationships/hyperlink" Target="https://my.zakupivli.pro/remote/dispatcher/state_contracting_view/18489136" TargetMode="External"/><Relationship Id="rId257" Type="http://schemas.openxmlformats.org/officeDocument/2006/relationships/hyperlink" Target="https://my.zakupivli.pro/remote/dispatcher/state_contracting_view/17030059" TargetMode="External"/><Relationship Id="rId422" Type="http://schemas.openxmlformats.org/officeDocument/2006/relationships/hyperlink" Target="https://my.zakupivli.pro/remote/dispatcher/state_purchase_view/44294102" TargetMode="External"/><Relationship Id="rId464" Type="http://schemas.openxmlformats.org/officeDocument/2006/relationships/hyperlink" Target="https://my.zakupivli.pro/remote/dispatcher/state_purchase_view/39945143" TargetMode="External"/><Relationship Id="rId299" Type="http://schemas.openxmlformats.org/officeDocument/2006/relationships/hyperlink" Target="https://my.zakupivli.pro/remote/dispatcher/state_contracting_view/15204873" TargetMode="External"/><Relationship Id="rId63" Type="http://schemas.openxmlformats.org/officeDocument/2006/relationships/hyperlink" Target="https://my.zakupivli.pro/remote/dispatcher/state_contracting_view/16640189" TargetMode="External"/><Relationship Id="rId159" Type="http://schemas.openxmlformats.org/officeDocument/2006/relationships/hyperlink" Target="https://my.zakupivli.pro/remote/dispatcher/state_contracting_view/15662828" TargetMode="External"/><Relationship Id="rId366" Type="http://schemas.openxmlformats.org/officeDocument/2006/relationships/hyperlink" Target="https://my.zakupivli.pro/remote/dispatcher/state_purchase_view/44533921" TargetMode="External"/><Relationship Id="rId573" Type="http://schemas.openxmlformats.org/officeDocument/2006/relationships/hyperlink" Target="https://my.zakupivli.pro/remote/dispatcher/state_contracting_view/16798913" TargetMode="External"/><Relationship Id="rId226" Type="http://schemas.openxmlformats.org/officeDocument/2006/relationships/hyperlink" Target="https://my.zakupivli.pro/remote/dispatcher/state_purchase_view/43357107" TargetMode="External"/><Relationship Id="rId433" Type="http://schemas.openxmlformats.org/officeDocument/2006/relationships/hyperlink" Target="https://my.zakupivli.pro/remote/dispatcher/state_contracting_view/18008876" TargetMode="External"/><Relationship Id="rId640" Type="http://schemas.openxmlformats.org/officeDocument/2006/relationships/hyperlink" Target="https://my.zakupivli.pro/remote/dispatcher/state_purchase_view/40121104" TargetMode="External"/><Relationship Id="rId74" Type="http://schemas.openxmlformats.org/officeDocument/2006/relationships/hyperlink" Target="https://my.zakupivli.pro/remote/dispatcher/state_purchase_view/47401766" TargetMode="External"/><Relationship Id="rId377" Type="http://schemas.openxmlformats.org/officeDocument/2006/relationships/hyperlink" Target="https://my.zakupivli.pro/remote/dispatcher/state_contracting_view/15402822" TargetMode="External"/><Relationship Id="rId500" Type="http://schemas.openxmlformats.org/officeDocument/2006/relationships/hyperlink" Target="https://my.zakupivli.pro/remote/dispatcher/state_purchase_view/47533022" TargetMode="External"/><Relationship Id="rId584" Type="http://schemas.openxmlformats.org/officeDocument/2006/relationships/hyperlink" Target="https://my.zakupivli.pro/remote/dispatcher/state_purchase_view/45573331" TargetMode="External"/><Relationship Id="rId5" Type="http://schemas.openxmlformats.org/officeDocument/2006/relationships/hyperlink" Target="https://my.zakupivli.pro/remote/dispatcher/state_contracting_view/15507620" TargetMode="External"/><Relationship Id="rId237" Type="http://schemas.openxmlformats.org/officeDocument/2006/relationships/hyperlink" Target="https://my.zakupivli.pro/remote/dispatcher/state_contracting_view/15799475" TargetMode="External"/><Relationship Id="rId444" Type="http://schemas.openxmlformats.org/officeDocument/2006/relationships/hyperlink" Target="https://my.zakupivli.pro/remote/dispatcher/state_purchase_view/43124155" TargetMode="External"/><Relationship Id="rId290" Type="http://schemas.openxmlformats.org/officeDocument/2006/relationships/hyperlink" Target="https://my.zakupivli.pro/remote/dispatcher/state_purchase_view/44496071" TargetMode="External"/><Relationship Id="rId304" Type="http://schemas.openxmlformats.org/officeDocument/2006/relationships/hyperlink" Target="https://my.zakupivli.pro/remote/dispatcher/state_purchase_view/44415500" TargetMode="External"/><Relationship Id="rId388" Type="http://schemas.openxmlformats.org/officeDocument/2006/relationships/hyperlink" Target="https://my.zakupivli.pro/remote/dispatcher/state_purchase_view/41034385" TargetMode="External"/><Relationship Id="rId511" Type="http://schemas.openxmlformats.org/officeDocument/2006/relationships/hyperlink" Target="https://my.zakupivli.pro/remote/dispatcher/state_contracting_view/17451188" TargetMode="External"/><Relationship Id="rId609" Type="http://schemas.openxmlformats.org/officeDocument/2006/relationships/hyperlink" Target="https://my.zakupivli.pro/remote/dispatcher/state_contracting_view/16510461" TargetMode="External"/><Relationship Id="rId85" Type="http://schemas.openxmlformats.org/officeDocument/2006/relationships/hyperlink" Target="https://my.zakupivli.pro/remote/dispatcher/state_contracting_view/18184579" TargetMode="External"/><Relationship Id="rId150" Type="http://schemas.openxmlformats.org/officeDocument/2006/relationships/hyperlink" Target="https://my.zakupivli.pro/remote/dispatcher/state_purchase_view/40890834" TargetMode="External"/><Relationship Id="rId595" Type="http://schemas.openxmlformats.org/officeDocument/2006/relationships/hyperlink" Target="https://my.zakupivli.pro/remote/dispatcher/state_contracting_view/15455262" TargetMode="External"/><Relationship Id="rId248" Type="http://schemas.openxmlformats.org/officeDocument/2006/relationships/hyperlink" Target="https://my.zakupivli.pro/remote/dispatcher/state_purchase_view/42438925" TargetMode="External"/><Relationship Id="rId455" Type="http://schemas.openxmlformats.org/officeDocument/2006/relationships/hyperlink" Target="https://my.zakupivli.pro/remote/dispatcher/state_contracting_view/16247497" TargetMode="External"/><Relationship Id="rId12" Type="http://schemas.openxmlformats.org/officeDocument/2006/relationships/hyperlink" Target="https://my.zakupivli.pro/remote/dispatcher/state_purchase_view/40775527" TargetMode="External"/><Relationship Id="rId108" Type="http://schemas.openxmlformats.org/officeDocument/2006/relationships/hyperlink" Target="https://my.zakupivli.pro/remote/dispatcher/state_purchase_view/43498469" TargetMode="External"/><Relationship Id="rId315" Type="http://schemas.openxmlformats.org/officeDocument/2006/relationships/hyperlink" Target="https://my.zakupivli.pro/remote/dispatcher/state_contracting_view/17585754" TargetMode="External"/><Relationship Id="rId522" Type="http://schemas.openxmlformats.org/officeDocument/2006/relationships/hyperlink" Target="https://my.zakupivli.pro/remote/dispatcher/state_purchase_view/42693937" TargetMode="External"/><Relationship Id="rId96" Type="http://schemas.openxmlformats.org/officeDocument/2006/relationships/hyperlink" Target="https://my.zakupivli.pro/remote/dispatcher/state_purchase_view/45101006" TargetMode="External"/><Relationship Id="rId161" Type="http://schemas.openxmlformats.org/officeDocument/2006/relationships/hyperlink" Target="https://my.zakupivli.pro/remote/dispatcher/state_contracting_view/18720948" TargetMode="External"/><Relationship Id="rId399" Type="http://schemas.openxmlformats.org/officeDocument/2006/relationships/hyperlink" Target="https://my.zakupivli.pro/remote/dispatcher/state_contracting_view/16021877" TargetMode="External"/><Relationship Id="rId259" Type="http://schemas.openxmlformats.org/officeDocument/2006/relationships/hyperlink" Target="https://my.zakupivli.pro/remote/dispatcher/state_contracting_view/18416379" TargetMode="External"/><Relationship Id="rId466" Type="http://schemas.openxmlformats.org/officeDocument/2006/relationships/hyperlink" Target="https://my.zakupivli.pro/remote/dispatcher/state_purchase_view/40760860" TargetMode="External"/><Relationship Id="rId23" Type="http://schemas.openxmlformats.org/officeDocument/2006/relationships/hyperlink" Target="https://my.zakupivli.pro/remote/dispatcher/state_contracting_view/15202656" TargetMode="External"/><Relationship Id="rId119" Type="http://schemas.openxmlformats.org/officeDocument/2006/relationships/hyperlink" Target="https://my.zakupivli.pro/remote/dispatcher/state_contracting_view/16888633" TargetMode="External"/><Relationship Id="rId326" Type="http://schemas.openxmlformats.org/officeDocument/2006/relationships/hyperlink" Target="https://my.zakupivli.pro/remote/dispatcher/state_purchase_view/43640198" TargetMode="External"/><Relationship Id="rId533" Type="http://schemas.openxmlformats.org/officeDocument/2006/relationships/hyperlink" Target="https://my.zakupivli.pro/remote/dispatcher/state_contracting_view/18021184" TargetMode="External"/><Relationship Id="rId172" Type="http://schemas.openxmlformats.org/officeDocument/2006/relationships/hyperlink" Target="https://my.zakupivli.pro/remote/dispatcher/state_purchase_view/45927243" TargetMode="External"/><Relationship Id="rId477" Type="http://schemas.openxmlformats.org/officeDocument/2006/relationships/hyperlink" Target="https://my.zakupivli.pro/remote/dispatcher/state_contracting_view/16885243" TargetMode="External"/><Relationship Id="rId600" Type="http://schemas.openxmlformats.org/officeDocument/2006/relationships/hyperlink" Target="https://my.zakupivli.pro/remote/dispatcher/state_purchase_view/47587402" TargetMode="External"/><Relationship Id="rId337" Type="http://schemas.openxmlformats.org/officeDocument/2006/relationships/hyperlink" Target="https://my.zakupivli.pro/remote/dispatcher/state_contracting_view/17625423" TargetMode="External"/><Relationship Id="rId34" Type="http://schemas.openxmlformats.org/officeDocument/2006/relationships/hyperlink" Target="https://my.zakupivli.pro/remote/dispatcher/state_purchase_view/42021369" TargetMode="External"/><Relationship Id="rId544" Type="http://schemas.openxmlformats.org/officeDocument/2006/relationships/hyperlink" Target="https://my.zakupivli.pro/remote/dispatcher/state_purchase_view/42204984" TargetMode="External"/><Relationship Id="rId183" Type="http://schemas.openxmlformats.org/officeDocument/2006/relationships/hyperlink" Target="https://my.zakupivli.pro/remote/dispatcher/state_contracting_view/17573483" TargetMode="External"/><Relationship Id="rId390" Type="http://schemas.openxmlformats.org/officeDocument/2006/relationships/hyperlink" Target="https://my.zakupivli.pro/remote/dispatcher/state_purchase_view/46289392" TargetMode="External"/><Relationship Id="rId404" Type="http://schemas.openxmlformats.org/officeDocument/2006/relationships/hyperlink" Target="https://my.zakupivli.pro/remote/dispatcher/state_purchase_view/41194201" TargetMode="External"/><Relationship Id="rId611" Type="http://schemas.openxmlformats.org/officeDocument/2006/relationships/hyperlink" Target="https://my.zakupivli.pro/remote/dispatcher/state_contracting_view/15712156" TargetMode="External"/><Relationship Id="rId250" Type="http://schemas.openxmlformats.org/officeDocument/2006/relationships/hyperlink" Target="https://my.zakupivli.pro/remote/dispatcher/state_purchase_view/42438160" TargetMode="External"/><Relationship Id="rId488" Type="http://schemas.openxmlformats.org/officeDocument/2006/relationships/hyperlink" Target="https://my.zakupivli.pro/remote/dispatcher/state_purchase_view/40053340" TargetMode="External"/><Relationship Id="rId45" Type="http://schemas.openxmlformats.org/officeDocument/2006/relationships/hyperlink" Target="https://my.zakupivli.pro/remote/dispatcher/state_contracting_view/16888452" TargetMode="External"/><Relationship Id="rId110" Type="http://schemas.openxmlformats.org/officeDocument/2006/relationships/hyperlink" Target="https://my.zakupivli.pro/remote/dispatcher/state_purchase_view/43745756" TargetMode="External"/><Relationship Id="rId348" Type="http://schemas.openxmlformats.org/officeDocument/2006/relationships/hyperlink" Target="https://my.zakupivli.pro/remote/dispatcher/state_purchase_view/42955124" TargetMode="External"/><Relationship Id="rId555" Type="http://schemas.openxmlformats.org/officeDocument/2006/relationships/hyperlink" Target="https://my.zakupivli.pro/remote/dispatcher/state_contracting_view/15786597" TargetMode="External"/><Relationship Id="rId194" Type="http://schemas.openxmlformats.org/officeDocument/2006/relationships/hyperlink" Target="https://my.zakupivli.pro/remote/dispatcher/state_purchase_view/41471419" TargetMode="External"/><Relationship Id="rId208" Type="http://schemas.openxmlformats.org/officeDocument/2006/relationships/hyperlink" Target="https://my.zakupivli.pro/remote/dispatcher/state_purchase_view/44413054" TargetMode="External"/><Relationship Id="rId415" Type="http://schemas.openxmlformats.org/officeDocument/2006/relationships/hyperlink" Target="https://my.zakupivli.pro/remote/dispatcher/state_contracting_view/15227388" TargetMode="External"/><Relationship Id="rId622" Type="http://schemas.openxmlformats.org/officeDocument/2006/relationships/hyperlink" Target="https://my.zakupivli.pro/remote/dispatcher/state_purchase_view/47935489" TargetMode="External"/><Relationship Id="rId261" Type="http://schemas.openxmlformats.org/officeDocument/2006/relationships/hyperlink" Target="https://my.zakupivli.pro/remote/dispatcher/state_contracting_view/17739844" TargetMode="External"/><Relationship Id="rId499" Type="http://schemas.openxmlformats.org/officeDocument/2006/relationships/hyperlink" Target="https://my.zakupivli.pro/remote/dispatcher/state_contracting_view/17739943" TargetMode="External"/><Relationship Id="rId56" Type="http://schemas.openxmlformats.org/officeDocument/2006/relationships/hyperlink" Target="https://my.zakupivli.pro/remote/dispatcher/state_purchase_view/44463490" TargetMode="External"/><Relationship Id="rId359" Type="http://schemas.openxmlformats.org/officeDocument/2006/relationships/hyperlink" Target="https://my.zakupivli.pro/remote/dispatcher/state_contracting_view/16968206" TargetMode="External"/><Relationship Id="rId566" Type="http://schemas.openxmlformats.org/officeDocument/2006/relationships/hyperlink" Target="https://my.zakupivli.pro/remote/dispatcher/state_purchase_view/40053721" TargetMode="External"/><Relationship Id="rId121" Type="http://schemas.openxmlformats.org/officeDocument/2006/relationships/hyperlink" Target="https://my.zakupivli.pro/remote/dispatcher/state_contracting_view/18784258" TargetMode="External"/><Relationship Id="rId219" Type="http://schemas.openxmlformats.org/officeDocument/2006/relationships/hyperlink" Target="https://my.zakupivli.pro/remote/dispatcher/state_contracting_view/16642544" TargetMode="External"/><Relationship Id="rId426" Type="http://schemas.openxmlformats.org/officeDocument/2006/relationships/hyperlink" Target="https://my.zakupivli.pro/remote/dispatcher/state_purchase_view/47935826" TargetMode="External"/><Relationship Id="rId633" Type="http://schemas.openxmlformats.org/officeDocument/2006/relationships/hyperlink" Target="https://my.zakupivli.pro/remote/dispatcher/state_contracting_view/17196089" TargetMode="External"/><Relationship Id="rId67" Type="http://schemas.openxmlformats.org/officeDocument/2006/relationships/hyperlink" Target="https://my.zakupivli.pro/remote/dispatcher/state_contracting_view/16798452" TargetMode="External"/><Relationship Id="rId272" Type="http://schemas.openxmlformats.org/officeDocument/2006/relationships/hyperlink" Target="https://my.zakupivli.pro/remote/dispatcher/state_purchase_view/42062484" TargetMode="External"/><Relationship Id="rId577" Type="http://schemas.openxmlformats.org/officeDocument/2006/relationships/hyperlink" Target="https://my.zakupivli.pro/remote/dispatcher/state_contracting_view/17268370" TargetMode="External"/><Relationship Id="rId132" Type="http://schemas.openxmlformats.org/officeDocument/2006/relationships/hyperlink" Target="https://my.zakupivli.pro/remote/dispatcher/state_purchase_view/42237592" TargetMode="External"/><Relationship Id="rId437" Type="http://schemas.openxmlformats.org/officeDocument/2006/relationships/hyperlink" Target="https://my.zakupivli.pro/remote/dispatcher/state_contracting_view/18055164" TargetMode="External"/><Relationship Id="rId283" Type="http://schemas.openxmlformats.org/officeDocument/2006/relationships/hyperlink" Target="https://my.zakupivli.pro/remote/dispatcher/state_contracting_view/16643261" TargetMode="External"/><Relationship Id="rId490" Type="http://schemas.openxmlformats.org/officeDocument/2006/relationships/hyperlink" Target="https://my.zakupivli.pro/remote/dispatcher/state_purchase_view/40050632" TargetMode="External"/><Relationship Id="rId504" Type="http://schemas.openxmlformats.org/officeDocument/2006/relationships/hyperlink" Target="https://my.zakupivli.pro/remote/dispatcher/state_purchase_view/42692214" TargetMode="External"/><Relationship Id="rId78" Type="http://schemas.openxmlformats.org/officeDocument/2006/relationships/hyperlink" Target="https://my.zakupivli.pro/remote/dispatcher/state_purchase_view/42493791" TargetMode="External"/><Relationship Id="rId143" Type="http://schemas.openxmlformats.org/officeDocument/2006/relationships/hyperlink" Target="https://my.zakupivli.pro/remote/dispatcher/state_contracting_view/15458813" TargetMode="External"/><Relationship Id="rId350" Type="http://schemas.openxmlformats.org/officeDocument/2006/relationships/hyperlink" Target="https://my.zakupivli.pro/remote/dispatcher/state_purchase_view/43118495" TargetMode="External"/><Relationship Id="rId588" Type="http://schemas.openxmlformats.org/officeDocument/2006/relationships/hyperlink" Target="https://my.zakupivli.pro/remote/dispatcher/state_purchase_view/45699548" TargetMode="External"/><Relationship Id="rId9" Type="http://schemas.openxmlformats.org/officeDocument/2006/relationships/hyperlink" Target="https://my.zakupivli.pro/remote/dispatcher/state_contracting_view/15379792" TargetMode="External"/><Relationship Id="rId210" Type="http://schemas.openxmlformats.org/officeDocument/2006/relationships/hyperlink" Target="https://my.zakupivli.pro/remote/dispatcher/state_purchase_view/40495197" TargetMode="External"/><Relationship Id="rId448" Type="http://schemas.openxmlformats.org/officeDocument/2006/relationships/hyperlink" Target="https://my.zakupivli.pro/remote/dispatcher/state_purchase_view/45702639" TargetMode="External"/><Relationship Id="rId294" Type="http://schemas.openxmlformats.org/officeDocument/2006/relationships/hyperlink" Target="https://my.zakupivli.pro/remote/dispatcher/state_purchase_view/40486265" TargetMode="External"/><Relationship Id="rId308" Type="http://schemas.openxmlformats.org/officeDocument/2006/relationships/hyperlink" Target="https://my.zakupivli.pro/remote/dispatcher/state_purchase_view/45658928" TargetMode="External"/><Relationship Id="rId515" Type="http://schemas.openxmlformats.org/officeDocument/2006/relationships/hyperlink" Target="https://my.zakupivli.pro/remote/dispatcher/state_contracting_view/179946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abSelected="1" topLeftCell="D1" workbookViewId="0">
      <pane ySplit="4" topLeftCell="A5" activePane="bottomLeft" state="frozen"/>
      <selection pane="bottomLeft" activeCell="G21" sqref="G21"/>
    </sheetView>
  </sheetViews>
  <sheetFormatPr defaultColWidth="11.42578125" defaultRowHeight="15" x14ac:dyDescent="0.25"/>
  <cols>
    <col min="1" max="1" width="5"/>
    <col min="2" max="3" width="25"/>
    <col min="4" max="6" width="35"/>
    <col min="7" max="8" width="30"/>
    <col min="9" max="11" width="15"/>
    <col min="12" max="14" width="10"/>
  </cols>
  <sheetData>
    <row r="1" spans="1:14" x14ac:dyDescent="0.25">
      <c r="A1" s="1" t="s">
        <v>1366</v>
      </c>
    </row>
    <row r="2" spans="1:14" x14ac:dyDescent="0.25">
      <c r="A2" s="2" t="s">
        <v>1022</v>
      </c>
    </row>
    <row r="3" spans="1:14" ht="15.75" thickBot="1" x14ac:dyDescent="0.3"/>
    <row r="4" spans="1:14" ht="39.75" thickBot="1" x14ac:dyDescent="0.3">
      <c r="A4" s="3" t="s">
        <v>1489</v>
      </c>
      <c r="B4" s="3" t="s">
        <v>1026</v>
      </c>
      <c r="C4" s="3" t="s">
        <v>1021</v>
      </c>
      <c r="D4" s="3" t="s">
        <v>1329</v>
      </c>
      <c r="E4" s="3" t="s">
        <v>1212</v>
      </c>
      <c r="F4" s="3" t="s">
        <v>1111</v>
      </c>
      <c r="G4" s="3" t="s">
        <v>1317</v>
      </c>
      <c r="H4" s="3" t="s">
        <v>1186</v>
      </c>
      <c r="I4" s="3" t="s">
        <v>1024</v>
      </c>
      <c r="J4" s="3" t="s">
        <v>1154</v>
      </c>
      <c r="K4" s="3" t="s">
        <v>1239</v>
      </c>
      <c r="L4" s="3" t="s">
        <v>1079</v>
      </c>
      <c r="M4" s="3" t="s">
        <v>1078</v>
      </c>
      <c r="N4" s="3" t="s">
        <v>1236</v>
      </c>
    </row>
    <row r="5" spans="1:14" x14ac:dyDescent="0.25">
      <c r="A5" s="4">
        <v>1</v>
      </c>
      <c r="B5" s="2" t="str">
        <f>HYPERLINK("https://my.zakupivli.pro/remote/dispatcher/state_purchase_view/40258937", "UA-2023-01-23-011560-a")</f>
        <v>UA-2023-01-23-011560-a</v>
      </c>
      <c r="C5" s="2" t="str">
        <f>HYPERLINK("https://my.zakupivli.pro/remote/dispatcher/state_contracting_view/15348144", "UA-2023-01-23-011560-a-a1")</f>
        <v>UA-2023-01-23-011560-a-a1</v>
      </c>
      <c r="D5" s="1" t="s">
        <v>296</v>
      </c>
      <c r="E5" s="1" t="s">
        <v>1404</v>
      </c>
      <c r="F5" s="1" t="s">
        <v>292</v>
      </c>
      <c r="G5" s="1" t="s">
        <v>1091</v>
      </c>
      <c r="H5" s="1" t="s">
        <v>1260</v>
      </c>
      <c r="I5" s="1" t="s">
        <v>528</v>
      </c>
      <c r="J5" s="1" t="s">
        <v>858</v>
      </c>
      <c r="K5" s="5">
        <v>28565.79</v>
      </c>
      <c r="L5" s="6">
        <v>44949</v>
      </c>
      <c r="M5" s="6">
        <v>45291</v>
      </c>
      <c r="N5" s="1" t="s">
        <v>1369</v>
      </c>
    </row>
    <row r="6" spans="1:14" x14ac:dyDescent="0.25">
      <c r="A6" s="4">
        <v>2</v>
      </c>
      <c r="B6" s="2" t="str">
        <f>HYPERLINK("https://my.zakupivli.pro/remote/dispatcher/state_purchase_view/40599042", "UA-2023-02-03-010709-a")</f>
        <v>UA-2023-02-03-010709-a</v>
      </c>
      <c r="C6" s="2" t="str">
        <f>HYPERLINK("https://my.zakupivli.pro/remote/dispatcher/state_contracting_view/15507620", "UA-2023-02-03-010709-a-a1")</f>
        <v>UA-2023-02-03-010709-a-a1</v>
      </c>
      <c r="D6" s="1" t="s">
        <v>347</v>
      </c>
      <c r="E6" s="1" t="s">
        <v>1405</v>
      </c>
      <c r="F6" s="1" t="s">
        <v>346</v>
      </c>
      <c r="G6" s="1" t="s">
        <v>1091</v>
      </c>
      <c r="H6" s="1" t="s">
        <v>1292</v>
      </c>
      <c r="I6" s="1" t="s">
        <v>501</v>
      </c>
      <c r="J6" s="1" t="s">
        <v>925</v>
      </c>
      <c r="K6" s="5">
        <v>99220</v>
      </c>
      <c r="L6" s="6">
        <v>44960</v>
      </c>
      <c r="M6" s="6">
        <v>45291</v>
      </c>
      <c r="N6" s="1" t="s">
        <v>1369</v>
      </c>
    </row>
    <row r="7" spans="1:14" x14ac:dyDescent="0.25">
      <c r="A7" s="4">
        <v>3</v>
      </c>
      <c r="B7" s="2" t="str">
        <f>HYPERLINK("https://my.zakupivli.pro/remote/dispatcher/state_purchase_view/40327803", "UA-2023-01-25-008210-a")</f>
        <v>UA-2023-01-25-008210-a</v>
      </c>
      <c r="C7" s="2" t="str">
        <f>HYPERLINK("https://my.zakupivli.pro/remote/dispatcher/state_contracting_view/15379562", "UA-2023-01-25-008210-a-b1")</f>
        <v>UA-2023-01-25-008210-a-b1</v>
      </c>
      <c r="D7" s="1" t="s">
        <v>379</v>
      </c>
      <c r="E7" s="1" t="s">
        <v>1086</v>
      </c>
      <c r="F7" s="1" t="s">
        <v>377</v>
      </c>
      <c r="G7" s="1" t="s">
        <v>1091</v>
      </c>
      <c r="H7" s="1" t="s">
        <v>1289</v>
      </c>
      <c r="I7" s="1" t="s">
        <v>235</v>
      </c>
      <c r="J7" s="1" t="s">
        <v>869</v>
      </c>
      <c r="K7" s="5">
        <v>62300.25</v>
      </c>
      <c r="L7" s="6">
        <v>44951</v>
      </c>
      <c r="M7" s="6">
        <v>45291</v>
      </c>
      <c r="N7" s="1" t="s">
        <v>1369</v>
      </c>
    </row>
    <row r="8" spans="1:14" x14ac:dyDescent="0.25">
      <c r="A8" s="4">
        <v>4</v>
      </c>
      <c r="B8" s="2" t="str">
        <f>HYPERLINK("https://my.zakupivli.pro/remote/dispatcher/state_purchase_view/39968891", "UA-2023-01-09-004804-a")</f>
        <v>UA-2023-01-09-004804-a</v>
      </c>
      <c r="C8" s="2" t="str">
        <f>HYPERLINK("https://my.zakupivli.pro/remote/dispatcher/state_contracting_view/15379792", "UA-2023-01-09-004804-a-b1")</f>
        <v>UA-2023-01-09-004804-a-b1</v>
      </c>
      <c r="D8" s="1" t="s">
        <v>783</v>
      </c>
      <c r="E8" s="1" t="s">
        <v>1221</v>
      </c>
      <c r="F8" s="1" t="s">
        <v>782</v>
      </c>
      <c r="G8" s="1" t="s">
        <v>1056</v>
      </c>
      <c r="H8" s="1" t="s">
        <v>1227</v>
      </c>
      <c r="I8" s="1" t="s">
        <v>629</v>
      </c>
      <c r="J8" s="1" t="s">
        <v>868</v>
      </c>
      <c r="K8" s="5">
        <v>44100</v>
      </c>
      <c r="L8" s="6">
        <v>44951</v>
      </c>
      <c r="M8" s="6">
        <v>45291</v>
      </c>
      <c r="N8" s="1" t="s">
        <v>1399</v>
      </c>
    </row>
    <row r="9" spans="1:14" x14ac:dyDescent="0.25">
      <c r="A9" s="4">
        <v>5</v>
      </c>
      <c r="B9" s="2" t="str">
        <f>HYPERLINK("https://my.zakupivli.pro/remote/dispatcher/state_purchase_view/40775317", "UA-2023-02-10-007840-a")</f>
        <v>UA-2023-02-10-007840-a</v>
      </c>
      <c r="C9" s="2" t="str">
        <f>HYPERLINK("https://my.zakupivli.pro/remote/dispatcher/state_contracting_view/15591290", "UA-2023-02-10-007840-a-b1")</f>
        <v>UA-2023-02-10-007840-a-b1</v>
      </c>
      <c r="D9" s="1" t="s">
        <v>929</v>
      </c>
      <c r="E9" s="1" t="s">
        <v>1084</v>
      </c>
      <c r="F9" s="1" t="s">
        <v>930</v>
      </c>
      <c r="G9" s="1" t="s">
        <v>1091</v>
      </c>
      <c r="H9" s="1" t="s">
        <v>1267</v>
      </c>
      <c r="I9" s="1" t="s">
        <v>762</v>
      </c>
      <c r="J9" s="1" t="s">
        <v>11</v>
      </c>
      <c r="K9" s="5">
        <v>8800</v>
      </c>
      <c r="L9" s="6">
        <v>44966</v>
      </c>
      <c r="M9" s="6">
        <v>45291</v>
      </c>
      <c r="N9" s="1" t="s">
        <v>1369</v>
      </c>
    </row>
    <row r="10" spans="1:14" x14ac:dyDescent="0.25">
      <c r="A10" s="4">
        <v>6</v>
      </c>
      <c r="B10" s="2" t="str">
        <f>HYPERLINK("https://my.zakupivli.pro/remote/dispatcher/state_purchase_view/40775527", "UA-2023-02-10-007925-a")</f>
        <v>UA-2023-02-10-007925-a</v>
      </c>
      <c r="C10" s="2" t="str">
        <f>HYPERLINK("https://my.zakupivli.pro/remote/dispatcher/state_contracting_view/15591412", "UA-2023-02-10-007925-a-a1")</f>
        <v>UA-2023-02-10-007925-a-a1</v>
      </c>
      <c r="D10" s="1" t="s">
        <v>898</v>
      </c>
      <c r="E10" s="1" t="s">
        <v>1200</v>
      </c>
      <c r="F10" s="1" t="s">
        <v>897</v>
      </c>
      <c r="G10" s="1" t="s">
        <v>1091</v>
      </c>
      <c r="H10" s="1" t="s">
        <v>1053</v>
      </c>
      <c r="I10" s="1" t="s">
        <v>261</v>
      </c>
      <c r="J10" s="1" t="s">
        <v>991</v>
      </c>
      <c r="K10" s="5">
        <v>32000</v>
      </c>
      <c r="L10" s="6">
        <v>44967</v>
      </c>
      <c r="M10" s="6">
        <v>45291</v>
      </c>
      <c r="N10" s="1" t="s">
        <v>1369</v>
      </c>
    </row>
    <row r="11" spans="1:14" x14ac:dyDescent="0.25">
      <c r="A11" s="4">
        <v>7</v>
      </c>
      <c r="B11" s="2" t="str">
        <f>HYPERLINK("https://my.zakupivli.pro/remote/dispatcher/state_purchase_view/40968937", "UA-2023-02-20-009883-a")</f>
        <v>UA-2023-02-20-009883-a</v>
      </c>
      <c r="C11" s="2" t="str">
        <f>HYPERLINK("https://my.zakupivli.pro/remote/dispatcher/state_contracting_view/15681937", "UA-2023-02-20-009883-a-a1")</f>
        <v>UA-2023-02-20-009883-a-a1</v>
      </c>
      <c r="D11" s="1" t="s">
        <v>413</v>
      </c>
      <c r="E11" s="1" t="s">
        <v>1241</v>
      </c>
      <c r="F11" s="1" t="s">
        <v>412</v>
      </c>
      <c r="G11" s="1" t="s">
        <v>1091</v>
      </c>
      <c r="H11" s="1" t="s">
        <v>1277</v>
      </c>
      <c r="I11" s="1" t="s">
        <v>599</v>
      </c>
      <c r="J11" s="1" t="s">
        <v>1014</v>
      </c>
      <c r="K11" s="5">
        <v>2300</v>
      </c>
      <c r="L11" s="6">
        <v>44974</v>
      </c>
      <c r="M11" s="6">
        <v>45291</v>
      </c>
      <c r="N11" s="1" t="s">
        <v>1369</v>
      </c>
    </row>
    <row r="12" spans="1:14" x14ac:dyDescent="0.25">
      <c r="A12" s="4">
        <v>8</v>
      </c>
      <c r="B12" s="2" t="str">
        <f>HYPERLINK("https://my.zakupivli.pro/remote/dispatcher/state_purchase_view/40969824", "UA-2023-02-20-010287-a")</f>
        <v>UA-2023-02-20-010287-a</v>
      </c>
      <c r="C12" s="2" t="str">
        <f>HYPERLINK("https://my.zakupivli.pro/remote/dispatcher/state_contracting_view/15682223", "UA-2023-02-20-010287-a-c1")</f>
        <v>UA-2023-02-20-010287-a-c1</v>
      </c>
      <c r="D12" s="1" t="s">
        <v>175</v>
      </c>
      <c r="E12" s="1" t="s">
        <v>1020</v>
      </c>
      <c r="F12" s="1" t="s">
        <v>403</v>
      </c>
      <c r="G12" s="1" t="s">
        <v>1091</v>
      </c>
      <c r="H12" s="1" t="s">
        <v>1277</v>
      </c>
      <c r="I12" s="1" t="s">
        <v>599</v>
      </c>
      <c r="J12" s="1" t="s">
        <v>1016</v>
      </c>
      <c r="K12" s="5">
        <v>8900</v>
      </c>
      <c r="L12" s="6">
        <v>44974</v>
      </c>
      <c r="M12" s="6">
        <v>45291</v>
      </c>
      <c r="N12" s="1" t="s">
        <v>1369</v>
      </c>
    </row>
    <row r="13" spans="1:14" x14ac:dyDescent="0.25">
      <c r="A13" s="4">
        <v>9</v>
      </c>
      <c r="B13" s="2" t="str">
        <f>HYPERLINK("https://my.zakupivli.pro/remote/dispatcher/state_purchase_view/41219339", "UA-2023-03-03-008413-a")</f>
        <v>UA-2023-03-03-008413-a</v>
      </c>
      <c r="C13" s="2" t="str">
        <f>HYPERLINK("https://my.zakupivli.pro/remote/dispatcher/state_contracting_view/15798956", "UA-2023-03-03-008413-a-a1")</f>
        <v>UA-2023-03-03-008413-a-a1</v>
      </c>
      <c r="D13" s="1" t="s">
        <v>198</v>
      </c>
      <c r="E13" s="1" t="s">
        <v>1464</v>
      </c>
      <c r="F13" s="1" t="s">
        <v>194</v>
      </c>
      <c r="G13" s="1" t="s">
        <v>1091</v>
      </c>
      <c r="H13" s="1" t="s">
        <v>1309</v>
      </c>
      <c r="I13" s="1" t="s">
        <v>458</v>
      </c>
      <c r="J13" s="1" t="s">
        <v>38</v>
      </c>
      <c r="K13" s="5">
        <v>1000</v>
      </c>
      <c r="L13" s="6">
        <v>44988</v>
      </c>
      <c r="M13" s="6">
        <v>45291</v>
      </c>
      <c r="N13" s="1" t="s">
        <v>1369</v>
      </c>
    </row>
    <row r="14" spans="1:14" x14ac:dyDescent="0.25">
      <c r="A14" s="4">
        <v>10</v>
      </c>
      <c r="B14" s="2" t="str">
        <f>HYPERLINK("https://my.zakupivli.pro/remote/dispatcher/state_purchase_view/40706735", "UA-2023-02-08-009646-a")</f>
        <v>UA-2023-02-08-009646-a</v>
      </c>
      <c r="C14" s="2" t="str">
        <f>HYPERLINK("https://my.zakupivli.pro/remote/dispatcher/state_contracting_view/15558066", "UA-2023-02-08-009646-a-a1")</f>
        <v>UA-2023-02-08-009646-a-a1</v>
      </c>
      <c r="D14" s="1" t="s">
        <v>366</v>
      </c>
      <c r="E14" s="1" t="s">
        <v>1126</v>
      </c>
      <c r="F14" s="1" t="s">
        <v>364</v>
      </c>
      <c r="G14" s="1" t="s">
        <v>1091</v>
      </c>
      <c r="H14" s="1" t="s">
        <v>1131</v>
      </c>
      <c r="I14" s="1" t="s">
        <v>427</v>
      </c>
      <c r="J14" s="1" t="s">
        <v>956</v>
      </c>
      <c r="K14" s="5">
        <v>87640</v>
      </c>
      <c r="L14" s="6">
        <v>44964</v>
      </c>
      <c r="M14" s="6">
        <v>45291</v>
      </c>
      <c r="N14" s="1" t="s">
        <v>1369</v>
      </c>
    </row>
    <row r="15" spans="1:14" x14ac:dyDescent="0.25">
      <c r="A15" s="4">
        <v>11</v>
      </c>
      <c r="B15" s="2" t="str">
        <f>HYPERLINK("https://my.zakupivli.pro/remote/dispatcher/state_purchase_view/39925817", "UA-2023-01-04-003170-a")</f>
        <v>UA-2023-01-04-003170-a</v>
      </c>
      <c r="C15" s="2" t="str">
        <f>HYPERLINK("https://my.zakupivli.pro/remote/dispatcher/state_contracting_view/15202656", "UA-2023-01-04-003170-a-c1")</f>
        <v>UA-2023-01-04-003170-a-c1</v>
      </c>
      <c r="D15" s="1" t="s">
        <v>961</v>
      </c>
      <c r="E15" s="1" t="s">
        <v>1368</v>
      </c>
      <c r="F15" s="1" t="s">
        <v>960</v>
      </c>
      <c r="G15" s="1" t="s">
        <v>1091</v>
      </c>
      <c r="H15" s="1" t="s">
        <v>1028</v>
      </c>
      <c r="I15" s="1" t="s">
        <v>698</v>
      </c>
      <c r="J15" s="1" t="s">
        <v>827</v>
      </c>
      <c r="K15" s="5">
        <v>252000</v>
      </c>
      <c r="L15" s="6">
        <v>44929</v>
      </c>
      <c r="M15" s="6">
        <v>45291</v>
      </c>
      <c r="N15" s="1" t="s">
        <v>1369</v>
      </c>
    </row>
    <row r="16" spans="1:14" x14ac:dyDescent="0.25">
      <c r="A16" s="4">
        <v>12</v>
      </c>
      <c r="B16" s="2" t="str">
        <f>HYPERLINK("https://my.zakupivli.pro/remote/dispatcher/state_purchase_view/39956129", "UA-2023-01-06-004448-a")</f>
        <v>UA-2023-01-06-004448-a</v>
      </c>
      <c r="C16" s="2" t="str">
        <f>HYPERLINK("https://my.zakupivli.pro/remote/dispatcher/state_contracting_view/15215761", "UA-2023-01-06-004448-a-b1")</f>
        <v>UA-2023-01-06-004448-a-b1</v>
      </c>
      <c r="D16" s="1" t="s">
        <v>917</v>
      </c>
      <c r="E16" s="1" t="s">
        <v>1207</v>
      </c>
      <c r="F16" s="1" t="s">
        <v>916</v>
      </c>
      <c r="G16" s="1" t="s">
        <v>1091</v>
      </c>
      <c r="H16" s="1" t="s">
        <v>1333</v>
      </c>
      <c r="I16" s="1" t="s">
        <v>234</v>
      </c>
      <c r="J16" s="1" t="s">
        <v>711</v>
      </c>
      <c r="K16" s="5">
        <v>672612.79</v>
      </c>
      <c r="L16" s="6">
        <v>44932</v>
      </c>
      <c r="M16" s="6">
        <v>45291</v>
      </c>
      <c r="N16" s="1" t="s">
        <v>1369</v>
      </c>
    </row>
    <row r="17" spans="1:14" x14ac:dyDescent="0.25">
      <c r="A17" s="4">
        <v>13</v>
      </c>
      <c r="B17" s="2" t="str">
        <f>HYPERLINK("https://my.zakupivli.pro/remote/dispatcher/state_purchase_view/40053485", "UA-2023-01-13-008887-a")</f>
        <v>UA-2023-01-13-008887-a</v>
      </c>
      <c r="C17" s="2" t="str">
        <f>HYPERLINK("https://my.zakupivli.pro/remote/dispatcher/state_contracting_view/15257604", "UA-2023-01-13-008887-a-c1")</f>
        <v>UA-2023-01-13-008887-a-c1</v>
      </c>
      <c r="D17" s="1" t="s">
        <v>1001</v>
      </c>
      <c r="E17" s="1" t="s">
        <v>1196</v>
      </c>
      <c r="F17" s="1" t="s">
        <v>1002</v>
      </c>
      <c r="G17" s="1" t="s">
        <v>1091</v>
      </c>
      <c r="H17" s="1" t="s">
        <v>1130</v>
      </c>
      <c r="I17" s="1" t="s">
        <v>360</v>
      </c>
      <c r="J17" s="1" t="s">
        <v>1362</v>
      </c>
      <c r="K17" s="5">
        <v>380004.48</v>
      </c>
      <c r="L17" s="6">
        <v>44937</v>
      </c>
      <c r="M17" s="6">
        <v>45291</v>
      </c>
      <c r="N17" s="1" t="s">
        <v>1369</v>
      </c>
    </row>
    <row r="18" spans="1:14" x14ac:dyDescent="0.25">
      <c r="A18" s="4">
        <v>14</v>
      </c>
      <c r="B18" s="2" t="str">
        <f>HYPERLINK("https://my.zakupivli.pro/remote/dispatcher/state_purchase_view/40048577", "UA-2023-01-13-006745-a")</f>
        <v>UA-2023-01-13-006745-a</v>
      </c>
      <c r="C18" s="2" t="str">
        <f>HYPERLINK("https://my.zakupivli.pro/remote/dispatcher/state_contracting_view/15255449", "UA-2023-01-13-006745-a-c1")</f>
        <v>UA-2023-01-13-006745-a-c1</v>
      </c>
      <c r="D18" s="1" t="s">
        <v>565</v>
      </c>
      <c r="E18" s="1" t="s">
        <v>1238</v>
      </c>
      <c r="F18" s="1" t="s">
        <v>562</v>
      </c>
      <c r="G18" s="1" t="s">
        <v>1091</v>
      </c>
      <c r="H18" s="1" t="s">
        <v>1032</v>
      </c>
      <c r="I18" s="1" t="s">
        <v>242</v>
      </c>
      <c r="J18" s="1" t="s">
        <v>485</v>
      </c>
      <c r="K18" s="5">
        <v>67330</v>
      </c>
      <c r="L18" s="6">
        <v>44938</v>
      </c>
      <c r="M18" s="6">
        <v>45291</v>
      </c>
      <c r="N18" s="1" t="s">
        <v>1369</v>
      </c>
    </row>
    <row r="19" spans="1:14" x14ac:dyDescent="0.25">
      <c r="A19" s="4">
        <v>15</v>
      </c>
      <c r="B19" s="2" t="str">
        <f>HYPERLINK("https://my.zakupivli.pro/remote/dispatcher/state_purchase_view/40079113", "UA-2023-01-16-009543-a")</f>
        <v>UA-2023-01-16-009543-a</v>
      </c>
      <c r="C19" s="2" t="str">
        <f>HYPERLINK("https://my.zakupivli.pro/remote/dispatcher/state_contracting_view/15268420", "UA-2023-01-16-009543-a-a1")</f>
        <v>UA-2023-01-16-009543-a-a1</v>
      </c>
      <c r="D19" s="1" t="s">
        <v>340</v>
      </c>
      <c r="E19" s="1" t="s">
        <v>1424</v>
      </c>
      <c r="F19" s="1" t="s">
        <v>302</v>
      </c>
      <c r="G19" s="1" t="s">
        <v>1091</v>
      </c>
      <c r="H19" s="1" t="s">
        <v>1285</v>
      </c>
      <c r="I19" s="1" t="s">
        <v>648</v>
      </c>
      <c r="J19" s="1" t="s">
        <v>710</v>
      </c>
      <c r="K19" s="5">
        <v>95340</v>
      </c>
      <c r="L19" s="6">
        <v>44942</v>
      </c>
      <c r="M19" s="6">
        <v>45291</v>
      </c>
      <c r="N19" s="1" t="s">
        <v>1369</v>
      </c>
    </row>
    <row r="20" spans="1:14" x14ac:dyDescent="0.25">
      <c r="A20" s="4">
        <v>16</v>
      </c>
      <c r="B20" s="2" t="str">
        <f>HYPERLINK("https://my.zakupivli.pro/remote/dispatcher/state_purchase_view/40078229", "UA-2023-01-16-009185-a")</f>
        <v>UA-2023-01-16-009185-a</v>
      </c>
      <c r="C20" s="2" t="str">
        <f>HYPERLINK("https://my.zakupivli.pro/remote/dispatcher/state_contracting_view/15268182", "UA-2023-01-16-009185-a-c1")</f>
        <v>UA-2023-01-16-009185-a-c1</v>
      </c>
      <c r="D20" s="1" t="s">
        <v>304</v>
      </c>
      <c r="E20" s="1" t="s">
        <v>1408</v>
      </c>
      <c r="F20" s="1" t="s">
        <v>305</v>
      </c>
      <c r="G20" s="1" t="s">
        <v>1091</v>
      </c>
      <c r="H20" s="1" t="s">
        <v>1285</v>
      </c>
      <c r="I20" s="1" t="s">
        <v>648</v>
      </c>
      <c r="J20" s="1" t="s">
        <v>694</v>
      </c>
      <c r="K20" s="5">
        <v>5400</v>
      </c>
      <c r="L20" s="6">
        <v>44942</v>
      </c>
      <c r="M20" s="6">
        <v>45291</v>
      </c>
      <c r="N20" s="1" t="s">
        <v>1369</v>
      </c>
    </row>
    <row r="21" spans="1:14" x14ac:dyDescent="0.25">
      <c r="A21" s="4">
        <v>17</v>
      </c>
      <c r="B21" s="2" t="str">
        <f>HYPERLINK("https://my.zakupivli.pro/remote/dispatcher/state_purchase_view/42021369", "UA-2023-04-17-003047-a")</f>
        <v>UA-2023-04-17-003047-a</v>
      </c>
      <c r="C21" s="2" t="str">
        <f>HYPERLINK("https://my.zakupivli.pro/remote/dispatcher/state_contracting_view/16143010", "UA-2023-04-17-003047-a-a1")</f>
        <v>UA-2023-04-17-003047-a-a1</v>
      </c>
      <c r="D21" s="1" t="s">
        <v>984</v>
      </c>
      <c r="E21" s="1" t="s">
        <v>1414</v>
      </c>
      <c r="F21" s="1" t="s">
        <v>983</v>
      </c>
      <c r="G21" s="1" t="s">
        <v>1091</v>
      </c>
      <c r="H21" s="1" t="s">
        <v>1308</v>
      </c>
      <c r="I21" s="1" t="s">
        <v>772</v>
      </c>
      <c r="J21" s="1" t="s">
        <v>1353</v>
      </c>
      <c r="K21" s="5">
        <v>7155</v>
      </c>
      <c r="L21" s="6">
        <v>45030</v>
      </c>
      <c r="M21" s="6">
        <v>45291</v>
      </c>
      <c r="N21" s="1" t="s">
        <v>1369</v>
      </c>
    </row>
    <row r="22" spans="1:14" x14ac:dyDescent="0.25">
      <c r="A22" s="4">
        <v>18</v>
      </c>
      <c r="B22" s="2" t="str">
        <f>HYPERLINK("https://my.zakupivli.pro/remote/dispatcher/state_purchase_view/44203910", "UA-2023-07-28-005937-a")</f>
        <v>UA-2023-07-28-005937-a</v>
      </c>
      <c r="C22" s="2" t="str">
        <f>HYPERLINK("https://my.zakupivli.pro/remote/dispatcher/state_contracting_view/17131487", "UA-2023-07-28-005937-a-c1")</f>
        <v>UA-2023-07-28-005937-a-c1</v>
      </c>
      <c r="D22" s="1" t="s">
        <v>405</v>
      </c>
      <c r="E22" s="1" t="s">
        <v>1110</v>
      </c>
      <c r="F22" s="1" t="s">
        <v>407</v>
      </c>
      <c r="G22" s="1" t="s">
        <v>1091</v>
      </c>
      <c r="H22" s="1" t="s">
        <v>1274</v>
      </c>
      <c r="I22" s="1" t="s">
        <v>509</v>
      </c>
      <c r="J22" s="1" t="s">
        <v>351</v>
      </c>
      <c r="K22" s="5">
        <v>12192</v>
      </c>
      <c r="L22" s="6">
        <v>45134</v>
      </c>
      <c r="M22" s="6">
        <v>45291</v>
      </c>
      <c r="N22" s="1" t="s">
        <v>1369</v>
      </c>
    </row>
    <row r="23" spans="1:14" x14ac:dyDescent="0.25">
      <c r="A23" s="4">
        <v>19</v>
      </c>
      <c r="B23" s="2" t="str">
        <f>HYPERLINK("https://my.zakupivli.pro/remote/dispatcher/state_purchase_view/42237015", "UA-2023-04-27-010032-a")</f>
        <v>UA-2023-04-27-010032-a</v>
      </c>
      <c r="C23" s="2" t="str">
        <f>HYPERLINK("https://my.zakupivli.pro/remote/dispatcher/state_contracting_view/16237190", "UA-2023-04-27-010032-a-a1")</f>
        <v>UA-2023-04-27-010032-a-a1</v>
      </c>
      <c r="D23" s="1" t="s">
        <v>928</v>
      </c>
      <c r="E23" s="1" t="s">
        <v>1452</v>
      </c>
      <c r="F23" s="1" t="s">
        <v>927</v>
      </c>
      <c r="G23" s="1" t="s">
        <v>1091</v>
      </c>
      <c r="H23" s="1" t="s">
        <v>1178</v>
      </c>
      <c r="I23" s="1" t="s">
        <v>331</v>
      </c>
      <c r="J23" s="1" t="s">
        <v>116</v>
      </c>
      <c r="K23" s="5">
        <v>12174.94</v>
      </c>
      <c r="L23" s="6">
        <v>45041</v>
      </c>
      <c r="M23" s="6">
        <v>45291</v>
      </c>
      <c r="N23" s="1" t="s">
        <v>1369</v>
      </c>
    </row>
    <row r="24" spans="1:14" x14ac:dyDescent="0.25">
      <c r="A24" s="4">
        <v>20</v>
      </c>
      <c r="B24" s="2" t="str">
        <f>HYPERLINK("https://my.zakupivli.pro/remote/dispatcher/state_purchase_view/42694695", "UA-2023-05-18-013079-a")</f>
        <v>UA-2023-05-18-013079-a</v>
      </c>
      <c r="C24" s="2" t="str">
        <f>HYPERLINK("https://my.zakupivli.pro/remote/dispatcher/state_contracting_view/16446998", "UA-2023-05-18-013079-a-a1")</f>
        <v>UA-2023-05-18-013079-a-a1</v>
      </c>
      <c r="D24" s="1" t="s">
        <v>941</v>
      </c>
      <c r="E24" s="1" t="s">
        <v>1455</v>
      </c>
      <c r="F24" s="1" t="s">
        <v>939</v>
      </c>
      <c r="G24" s="1" t="s">
        <v>1091</v>
      </c>
      <c r="H24" s="1" t="s">
        <v>1134</v>
      </c>
      <c r="I24" s="1" t="s">
        <v>5</v>
      </c>
      <c r="J24" s="1" t="s">
        <v>167</v>
      </c>
      <c r="K24" s="5">
        <v>21511.119999999999</v>
      </c>
      <c r="L24" s="6">
        <v>45063</v>
      </c>
      <c r="M24" s="6">
        <v>45291</v>
      </c>
      <c r="N24" s="1" t="s">
        <v>1369</v>
      </c>
    </row>
    <row r="25" spans="1:14" x14ac:dyDescent="0.25">
      <c r="A25" s="4">
        <v>21</v>
      </c>
      <c r="B25" s="2" t="str">
        <f>HYPERLINK("https://my.zakupivli.pro/remote/dispatcher/state_purchase_view/43550384", "UA-2023-06-26-006732-a")</f>
        <v>UA-2023-06-26-006732-a</v>
      </c>
      <c r="C25" s="2" t="str">
        <f>HYPERLINK("https://my.zakupivli.pro/remote/dispatcher/state_contracting_view/16847196", "UA-2023-06-26-006732-a-a1")</f>
        <v>UA-2023-06-26-006732-a-a1</v>
      </c>
      <c r="D25" s="1" t="s">
        <v>919</v>
      </c>
      <c r="E25" s="1" t="s">
        <v>1201</v>
      </c>
      <c r="F25" s="1" t="s">
        <v>918</v>
      </c>
      <c r="G25" s="1" t="s">
        <v>1091</v>
      </c>
      <c r="H25" s="1" t="s">
        <v>1135</v>
      </c>
      <c r="I25" s="1" t="s">
        <v>244</v>
      </c>
      <c r="J25" s="1" t="s">
        <v>7</v>
      </c>
      <c r="K25" s="5">
        <v>15000</v>
      </c>
      <c r="L25" s="6">
        <v>45099</v>
      </c>
      <c r="M25" s="6">
        <v>45291</v>
      </c>
      <c r="N25" s="1" t="s">
        <v>1369</v>
      </c>
    </row>
    <row r="26" spans="1:14" x14ac:dyDescent="0.25">
      <c r="A26" s="4">
        <v>22</v>
      </c>
      <c r="B26" s="2" t="str">
        <f>HYPERLINK("https://my.zakupivli.pro/remote/dispatcher/state_purchase_view/43643890", "UA-2023-06-29-009700-a")</f>
        <v>UA-2023-06-29-009700-a</v>
      </c>
      <c r="C26" s="2" t="str">
        <f>HYPERLINK("https://my.zakupivli.pro/remote/dispatcher/state_contracting_view/16888452", "UA-2023-06-29-009700-a-a1")</f>
        <v>UA-2023-06-29-009700-a-a1</v>
      </c>
      <c r="D26" s="1" t="s">
        <v>141</v>
      </c>
      <c r="E26" s="1" t="s">
        <v>1432</v>
      </c>
      <c r="F26" s="1" t="s">
        <v>140</v>
      </c>
      <c r="G26" s="1" t="s">
        <v>1091</v>
      </c>
      <c r="H26" s="1" t="s">
        <v>1177</v>
      </c>
      <c r="I26" s="1" t="s">
        <v>498</v>
      </c>
      <c r="J26" s="1" t="s">
        <v>270</v>
      </c>
      <c r="K26" s="5">
        <v>4482</v>
      </c>
      <c r="L26" s="6">
        <v>45105</v>
      </c>
      <c r="M26" s="6">
        <v>45291</v>
      </c>
      <c r="N26" s="1" t="s">
        <v>1369</v>
      </c>
    </row>
    <row r="27" spans="1:14" x14ac:dyDescent="0.25">
      <c r="A27" s="4">
        <v>23</v>
      </c>
      <c r="B27" s="2" t="str">
        <f>HYPERLINK("https://my.zakupivli.pro/remote/dispatcher/state_purchase_view/42568969", "UA-2023-05-13-000250-a")</f>
        <v>UA-2023-05-13-000250-a</v>
      </c>
      <c r="C27" s="2" t="str">
        <f>HYPERLINK("https://my.zakupivli.pro/remote/dispatcher/state_contracting_view/16389884", "UA-2023-05-13-000250-a-c1")</f>
        <v>UA-2023-05-13-000250-a-c1</v>
      </c>
      <c r="D27" s="1" t="s">
        <v>294</v>
      </c>
      <c r="E27" s="1" t="s">
        <v>1115</v>
      </c>
      <c r="F27" s="1" t="s">
        <v>292</v>
      </c>
      <c r="G27" s="1" t="s">
        <v>1091</v>
      </c>
      <c r="H27" s="1" t="s">
        <v>1260</v>
      </c>
      <c r="I27" s="1" t="s">
        <v>528</v>
      </c>
      <c r="J27" s="1" t="s">
        <v>1065</v>
      </c>
      <c r="K27" s="5">
        <v>1155</v>
      </c>
      <c r="L27" s="6">
        <v>45056</v>
      </c>
      <c r="M27" s="6">
        <v>45291</v>
      </c>
      <c r="N27" s="1" t="s">
        <v>1369</v>
      </c>
    </row>
    <row r="28" spans="1:14" x14ac:dyDescent="0.25">
      <c r="A28" s="4">
        <v>24</v>
      </c>
      <c r="B28" s="2" t="str">
        <f>HYPERLINK("https://my.zakupivli.pro/remote/dispatcher/state_purchase_view/42568976", "UA-2023-05-13-000258-a")</f>
        <v>UA-2023-05-13-000258-a</v>
      </c>
      <c r="C28" s="2" t="str">
        <f>HYPERLINK("https://my.zakupivli.pro/remote/dispatcher/state_contracting_view/16389886", "UA-2023-05-13-000258-a-a1")</f>
        <v>UA-2023-05-13-000258-a-a1</v>
      </c>
      <c r="D28" s="1" t="s">
        <v>661</v>
      </c>
      <c r="E28" s="1" t="s">
        <v>1379</v>
      </c>
      <c r="F28" s="1" t="s">
        <v>659</v>
      </c>
      <c r="G28" s="1" t="s">
        <v>1091</v>
      </c>
      <c r="H28" s="1" t="s">
        <v>1023</v>
      </c>
      <c r="I28" s="1" t="s">
        <v>264</v>
      </c>
      <c r="J28" s="1" t="s">
        <v>153</v>
      </c>
      <c r="K28" s="5">
        <v>79000</v>
      </c>
      <c r="L28" s="6">
        <v>45056</v>
      </c>
      <c r="M28" s="6">
        <v>45291</v>
      </c>
      <c r="N28" s="1" t="s">
        <v>1369</v>
      </c>
    </row>
    <row r="29" spans="1:14" x14ac:dyDescent="0.25">
      <c r="A29" s="4">
        <v>25</v>
      </c>
      <c r="B29" s="2" t="str">
        <f>HYPERLINK("https://my.zakupivli.pro/remote/dispatcher/state_purchase_view/45633099", "UA-2023-10-04-007814-a")</f>
        <v>UA-2023-10-04-007814-a</v>
      </c>
      <c r="C29" s="2" t="str">
        <f>HYPERLINK("https://my.zakupivli.pro/remote/dispatcher/state_contracting_view/17741093", "UA-2023-10-04-007814-a-a1")</f>
        <v>UA-2023-10-04-007814-a-a1</v>
      </c>
      <c r="D29" s="1" t="s">
        <v>1012</v>
      </c>
      <c r="E29" s="1" t="s">
        <v>1443</v>
      </c>
      <c r="F29" s="1" t="s">
        <v>1011</v>
      </c>
      <c r="G29" s="1" t="s">
        <v>1091</v>
      </c>
      <c r="H29" s="1" t="s">
        <v>1102</v>
      </c>
      <c r="I29" s="1" t="s">
        <v>401</v>
      </c>
      <c r="J29" s="1" t="s">
        <v>785</v>
      </c>
      <c r="K29" s="5">
        <v>29900</v>
      </c>
      <c r="L29" s="6">
        <v>45203</v>
      </c>
      <c r="M29" s="6">
        <v>45291</v>
      </c>
      <c r="N29" s="1" t="s">
        <v>1369</v>
      </c>
    </row>
    <row r="30" spans="1:14" x14ac:dyDescent="0.25">
      <c r="A30" s="4">
        <v>26</v>
      </c>
      <c r="B30" s="2" t="str">
        <f>HYPERLINK("https://my.zakupivli.pro/remote/dispatcher/state_purchase_view/46290725", "UA-2023-10-31-008215-a")</f>
        <v>UA-2023-10-31-008215-a</v>
      </c>
      <c r="C30" s="2" t="str">
        <f>HYPERLINK("https://my.zakupivli.pro/remote/dispatcher/state_contracting_view/18022636", "UA-2023-10-31-008215-a-c1")</f>
        <v>UA-2023-10-31-008215-a-c1</v>
      </c>
      <c r="D30" s="1" t="s">
        <v>721</v>
      </c>
      <c r="E30" s="1" t="s">
        <v>725</v>
      </c>
      <c r="F30" s="1" t="s">
        <v>724</v>
      </c>
      <c r="G30" s="1" t="s">
        <v>1091</v>
      </c>
      <c r="H30" s="1" t="s">
        <v>1271</v>
      </c>
      <c r="I30" s="1" t="s">
        <v>425</v>
      </c>
      <c r="J30" s="1" t="s">
        <v>998</v>
      </c>
      <c r="K30" s="5">
        <v>49351.68</v>
      </c>
      <c r="L30" s="6">
        <v>45226</v>
      </c>
      <c r="M30" s="6">
        <v>45291</v>
      </c>
      <c r="N30" s="1" t="s">
        <v>1369</v>
      </c>
    </row>
    <row r="31" spans="1:14" x14ac:dyDescent="0.25">
      <c r="A31" s="4">
        <v>27</v>
      </c>
      <c r="B31" s="2" t="str">
        <f>HYPERLINK("https://my.zakupivli.pro/remote/dispatcher/state_purchase_view/46626500", "UA-2023-11-14-002119-a")</f>
        <v>UA-2023-11-14-002119-a</v>
      </c>
      <c r="C31" s="2" t="str">
        <f>HYPERLINK("https://my.zakupivli.pro/remote/dispatcher/state_contracting_view/18165910", "UA-2023-11-14-002119-a-a1")</f>
        <v>UA-2023-11-14-002119-a-a1</v>
      </c>
      <c r="D31" s="1" t="s">
        <v>723</v>
      </c>
      <c r="E31" s="1" t="s">
        <v>729</v>
      </c>
      <c r="F31" s="1" t="s">
        <v>728</v>
      </c>
      <c r="G31" s="1" t="s">
        <v>1091</v>
      </c>
      <c r="H31" s="1" t="s">
        <v>1177</v>
      </c>
      <c r="I31" s="1" t="s">
        <v>498</v>
      </c>
      <c r="J31" s="1" t="s">
        <v>814</v>
      </c>
      <c r="K31" s="5">
        <v>4224</v>
      </c>
      <c r="L31" s="6">
        <v>45243</v>
      </c>
      <c r="M31" s="6">
        <v>45291</v>
      </c>
      <c r="N31" s="1" t="s">
        <v>1369</v>
      </c>
    </row>
    <row r="32" spans="1:14" x14ac:dyDescent="0.25">
      <c r="A32" s="4">
        <v>28</v>
      </c>
      <c r="B32" s="2" t="str">
        <f>HYPERLINK("https://my.zakupivli.pro/remote/dispatcher/state_purchase_view/44463490", "UA-2023-08-11-000858-a")</f>
        <v>UA-2023-08-11-000858-a</v>
      </c>
      <c r="C32" s="2" t="str">
        <f>HYPERLINK("https://my.zakupivli.pro/remote/dispatcher/state_contracting_view/17437079", "UA-2023-08-11-000858-a-a1")</f>
        <v>UA-2023-08-11-000858-a-a1</v>
      </c>
      <c r="D32" s="1" t="s">
        <v>301</v>
      </c>
      <c r="E32" s="1" t="s">
        <v>301</v>
      </c>
      <c r="F32" s="1" t="s">
        <v>302</v>
      </c>
      <c r="G32" s="1" t="s">
        <v>1056</v>
      </c>
      <c r="H32" s="1" t="s">
        <v>1067</v>
      </c>
      <c r="I32" s="1" t="s">
        <v>312</v>
      </c>
      <c r="J32" s="1" t="s">
        <v>548</v>
      </c>
      <c r="K32" s="5">
        <v>75990</v>
      </c>
      <c r="L32" s="6">
        <v>45173</v>
      </c>
      <c r="M32" s="6">
        <v>45291</v>
      </c>
      <c r="N32" s="1" t="s">
        <v>1399</v>
      </c>
    </row>
    <row r="33" spans="1:14" x14ac:dyDescent="0.25">
      <c r="A33" s="4">
        <v>29</v>
      </c>
      <c r="B33" s="2" t="str">
        <f>HYPERLINK("https://my.zakupivli.pro/remote/dispatcher/state_purchase_view/47125160", "UA-2023-11-30-003544-a")</f>
        <v>UA-2023-11-30-003544-a</v>
      </c>
      <c r="C33" s="2" t="str">
        <f>HYPERLINK("https://my.zakupivli.pro/remote/dispatcher/state_contracting_view/18375108", "UA-2023-11-30-003544-a-c1")</f>
        <v>UA-2023-11-30-003544-a-c1</v>
      </c>
      <c r="D33" s="1" t="s">
        <v>707</v>
      </c>
      <c r="E33" s="1" t="s">
        <v>707</v>
      </c>
      <c r="F33" s="1" t="s">
        <v>703</v>
      </c>
      <c r="G33" s="1" t="s">
        <v>1091</v>
      </c>
      <c r="H33" s="1" t="s">
        <v>1265</v>
      </c>
      <c r="I33" s="1" t="s">
        <v>551</v>
      </c>
      <c r="J33" s="1" t="s">
        <v>838</v>
      </c>
      <c r="K33" s="5">
        <v>6699</v>
      </c>
      <c r="L33" s="6">
        <v>45259</v>
      </c>
      <c r="M33" s="6">
        <v>45291</v>
      </c>
      <c r="N33" s="1" t="s">
        <v>1369</v>
      </c>
    </row>
    <row r="34" spans="1:14" x14ac:dyDescent="0.25">
      <c r="A34" s="4">
        <v>30</v>
      </c>
      <c r="B34" s="2" t="str">
        <f>HYPERLINK("https://my.zakupivli.pro/remote/dispatcher/state_purchase_view/47012685", "UA-2023-11-27-008103-a")</f>
        <v>UA-2023-11-27-008103-a</v>
      </c>
      <c r="C34" s="2" t="str">
        <f>HYPERLINK("https://my.zakupivli.pro/remote/dispatcher/state_contracting_view/18328298", "UA-2023-11-27-008103-a-a1")</f>
        <v>UA-2023-11-27-008103-a-a1</v>
      </c>
      <c r="D34" s="1" t="s">
        <v>843</v>
      </c>
      <c r="E34" s="1" t="s">
        <v>1435</v>
      </c>
      <c r="F34" s="1" t="s">
        <v>840</v>
      </c>
      <c r="G34" s="1" t="s">
        <v>1091</v>
      </c>
      <c r="H34" s="1" t="s">
        <v>1030</v>
      </c>
      <c r="I34" s="1" t="s">
        <v>207</v>
      </c>
      <c r="J34" s="1" t="s">
        <v>1326</v>
      </c>
      <c r="K34" s="5">
        <v>485.94</v>
      </c>
      <c r="L34" s="6">
        <v>45254</v>
      </c>
      <c r="M34" s="6">
        <v>45291</v>
      </c>
      <c r="N34" s="1" t="s">
        <v>1369</v>
      </c>
    </row>
    <row r="35" spans="1:14" x14ac:dyDescent="0.25">
      <c r="A35" s="4">
        <v>31</v>
      </c>
      <c r="B35" s="2" t="str">
        <f>HYPERLINK("https://my.zakupivli.pro/remote/dispatcher/state_purchase_view/43117502", "UA-2023-06-07-009031-a")</f>
        <v>UA-2023-06-07-009031-a</v>
      </c>
      <c r="C35" s="2" t="str">
        <f>HYPERLINK("https://my.zakupivli.pro/remote/dispatcher/state_contracting_view/16640189", "UA-2023-06-07-009031-a-a1")</f>
        <v>UA-2023-06-07-009031-a-a1</v>
      </c>
      <c r="D35" s="1" t="s">
        <v>416</v>
      </c>
      <c r="E35" s="1" t="s">
        <v>1390</v>
      </c>
      <c r="F35" s="1" t="s">
        <v>414</v>
      </c>
      <c r="G35" s="1" t="s">
        <v>1091</v>
      </c>
      <c r="H35" s="1" t="s">
        <v>1339</v>
      </c>
      <c r="I35" s="1" t="s">
        <v>249</v>
      </c>
      <c r="J35" s="1" t="s">
        <v>213</v>
      </c>
      <c r="K35" s="5">
        <v>5330</v>
      </c>
      <c r="L35" s="6">
        <v>45084</v>
      </c>
      <c r="M35" s="6">
        <v>45291</v>
      </c>
      <c r="N35" s="1" t="s">
        <v>1369</v>
      </c>
    </row>
    <row r="36" spans="1:14" x14ac:dyDescent="0.25">
      <c r="A36" s="4">
        <v>32</v>
      </c>
      <c r="B36" s="2" t="str">
        <f>HYPERLINK("https://my.zakupivli.pro/remote/dispatcher/state_purchase_view/43357889", "UA-2023-06-16-011576-a")</f>
        <v>UA-2023-06-16-011576-a</v>
      </c>
      <c r="C36" s="2" t="str">
        <f>HYPERLINK("https://my.zakupivli.pro/remote/dispatcher/state_contracting_view/16750125", "UA-2023-06-16-011576-a-c1")</f>
        <v>UA-2023-06-16-011576-a-c1</v>
      </c>
      <c r="D36" s="1" t="s">
        <v>474</v>
      </c>
      <c r="E36" s="1" t="s">
        <v>1473</v>
      </c>
      <c r="F36" s="1" t="s">
        <v>475</v>
      </c>
      <c r="G36" s="1" t="s">
        <v>1091</v>
      </c>
      <c r="H36" s="1" t="s">
        <v>1265</v>
      </c>
      <c r="I36" s="1" t="s">
        <v>551</v>
      </c>
      <c r="J36" s="1" t="s">
        <v>241</v>
      </c>
      <c r="K36" s="5">
        <v>11996.02</v>
      </c>
      <c r="L36" s="6">
        <v>45092</v>
      </c>
      <c r="M36" s="6">
        <v>45291</v>
      </c>
      <c r="N36" s="1" t="s">
        <v>1369</v>
      </c>
    </row>
    <row r="37" spans="1:14" x14ac:dyDescent="0.25">
      <c r="A37" s="4">
        <v>33</v>
      </c>
      <c r="B37" s="2" t="str">
        <f>HYPERLINK("https://my.zakupivli.pro/remote/dispatcher/state_purchase_view/43453034", "UA-2023-06-21-009428-a")</f>
        <v>UA-2023-06-21-009428-a</v>
      </c>
      <c r="C37" s="2" t="str">
        <f>HYPERLINK("https://my.zakupivli.pro/remote/dispatcher/state_contracting_view/16798452", "UA-2023-06-21-009428-a-a1")</f>
        <v>UA-2023-06-21-009428-a-a1</v>
      </c>
      <c r="D37" s="1" t="s">
        <v>1008</v>
      </c>
      <c r="E37" s="1" t="s">
        <v>1453</v>
      </c>
      <c r="F37" s="1" t="s">
        <v>1009</v>
      </c>
      <c r="G37" s="1" t="s">
        <v>1091</v>
      </c>
      <c r="H37" s="1" t="s">
        <v>1100</v>
      </c>
      <c r="I37" s="1" t="s">
        <v>344</v>
      </c>
      <c r="J37" s="1" t="s">
        <v>144</v>
      </c>
      <c r="K37" s="5">
        <v>5000</v>
      </c>
      <c r="L37" s="6">
        <v>45097</v>
      </c>
      <c r="M37" s="6">
        <v>45291</v>
      </c>
      <c r="N37" s="1" t="s">
        <v>1369</v>
      </c>
    </row>
    <row r="38" spans="1:14" x14ac:dyDescent="0.25">
      <c r="A38" s="4">
        <v>34</v>
      </c>
      <c r="B38" s="2" t="str">
        <f>HYPERLINK("https://my.zakupivli.pro/remote/dispatcher/state_purchase_view/43454279", "UA-2023-06-21-010018-a")</f>
        <v>UA-2023-06-21-010018-a</v>
      </c>
      <c r="C38" s="2" t="str">
        <f>HYPERLINK("https://my.zakupivli.pro/remote/dispatcher/state_contracting_view/16799073", "UA-2023-06-21-010018-a-a1")</f>
        <v>UA-2023-06-21-010018-a-a1</v>
      </c>
      <c r="D38" s="1" t="s">
        <v>441</v>
      </c>
      <c r="E38" s="1" t="s">
        <v>1421</v>
      </c>
      <c r="F38" s="1" t="s">
        <v>440</v>
      </c>
      <c r="G38" s="1" t="s">
        <v>1091</v>
      </c>
      <c r="H38" s="1" t="s">
        <v>1177</v>
      </c>
      <c r="I38" s="1" t="s">
        <v>498</v>
      </c>
      <c r="J38" s="1" t="s">
        <v>247</v>
      </c>
      <c r="K38" s="5">
        <v>16848</v>
      </c>
      <c r="L38" s="6">
        <v>45097</v>
      </c>
      <c r="M38" s="6">
        <v>45291</v>
      </c>
      <c r="N38" s="1" t="s">
        <v>1369</v>
      </c>
    </row>
    <row r="39" spans="1:14" x14ac:dyDescent="0.25">
      <c r="A39" s="4">
        <v>35</v>
      </c>
      <c r="B39" s="2" t="str">
        <f>HYPERLINK("https://my.zakupivli.pro/remote/dispatcher/state_purchase_view/43488079", "UA-2023-06-22-009561-a")</f>
        <v>UA-2023-06-22-009561-a</v>
      </c>
      <c r="C39" s="2" t="str">
        <f>HYPERLINK("https://my.zakupivli.pro/remote/dispatcher/state_contracting_view/16816912", "UA-2023-06-22-009561-a-c1")</f>
        <v>UA-2023-06-22-009561-a-c1</v>
      </c>
      <c r="D39" s="1" t="s">
        <v>90</v>
      </c>
      <c r="E39" s="1" t="s">
        <v>1035</v>
      </c>
      <c r="F39" s="1" t="s">
        <v>87</v>
      </c>
      <c r="G39" s="1" t="s">
        <v>1091</v>
      </c>
      <c r="H39" s="1" t="s">
        <v>1257</v>
      </c>
      <c r="I39" s="1" t="s">
        <v>152</v>
      </c>
      <c r="J39" s="1" t="s">
        <v>257</v>
      </c>
      <c r="K39" s="5">
        <v>25525</v>
      </c>
      <c r="L39" s="6">
        <v>45099</v>
      </c>
      <c r="M39" s="6">
        <v>45291</v>
      </c>
      <c r="N39" s="1" t="s">
        <v>1369</v>
      </c>
    </row>
    <row r="40" spans="1:14" x14ac:dyDescent="0.25">
      <c r="A40" s="4">
        <v>36</v>
      </c>
      <c r="B40" s="2" t="str">
        <f>HYPERLINK("https://my.zakupivli.pro/remote/dispatcher/state_purchase_view/42880792", "UA-2023-05-26-012025-a")</f>
        <v>UA-2023-05-26-012025-a</v>
      </c>
      <c r="C40" s="2" t="str">
        <f>HYPERLINK("https://my.zakupivli.pro/remote/dispatcher/state_contracting_view/16534635", "UA-2023-05-26-012025-a-b1")</f>
        <v>UA-2023-05-26-012025-a-b1</v>
      </c>
      <c r="D40" s="1" t="s">
        <v>132</v>
      </c>
      <c r="E40" s="1" t="s">
        <v>1438</v>
      </c>
      <c r="F40" s="1" t="s">
        <v>127</v>
      </c>
      <c r="G40" s="1" t="s">
        <v>1091</v>
      </c>
      <c r="H40" s="1" t="s">
        <v>1106</v>
      </c>
      <c r="I40" s="1" t="s">
        <v>158</v>
      </c>
      <c r="J40" s="1" t="s">
        <v>204</v>
      </c>
      <c r="K40" s="5">
        <v>30264</v>
      </c>
      <c r="L40" s="6">
        <v>45071</v>
      </c>
      <c r="M40" s="6">
        <v>45291</v>
      </c>
      <c r="N40" s="1" t="s">
        <v>1369</v>
      </c>
    </row>
    <row r="41" spans="1:14" x14ac:dyDescent="0.25">
      <c r="A41" s="4">
        <v>37</v>
      </c>
      <c r="B41" s="2" t="str">
        <f>HYPERLINK("https://my.zakupivli.pro/remote/dispatcher/state_purchase_view/47401766", "UA-2023-12-08-004523-a")</f>
        <v>UA-2023-12-08-004523-a</v>
      </c>
      <c r="C41" s="2" t="str">
        <f>HYPERLINK("https://my.zakupivli.pro/remote/dispatcher/state_contracting_view/18490026", "UA-2023-12-08-004523-a-a1")</f>
        <v>UA-2023-12-08-004523-a-a1</v>
      </c>
      <c r="D41" s="1" t="s">
        <v>17</v>
      </c>
      <c r="E41" s="1" t="s">
        <v>20</v>
      </c>
      <c r="F41" s="1" t="s">
        <v>19</v>
      </c>
      <c r="G41" s="1" t="s">
        <v>1091</v>
      </c>
      <c r="H41" s="1" t="s">
        <v>1301</v>
      </c>
      <c r="I41" s="1" t="s">
        <v>769</v>
      </c>
      <c r="J41" s="1" t="s">
        <v>864</v>
      </c>
      <c r="K41" s="5">
        <v>44596.2</v>
      </c>
      <c r="L41" s="6">
        <v>45268</v>
      </c>
      <c r="M41" s="6">
        <v>45291</v>
      </c>
      <c r="N41" s="1" t="s">
        <v>1369</v>
      </c>
    </row>
    <row r="42" spans="1:14" x14ac:dyDescent="0.25">
      <c r="A42" s="4">
        <v>38</v>
      </c>
      <c r="B42" s="2" t="str">
        <f>HYPERLINK("https://my.zakupivli.pro/remote/dispatcher/state_purchase_view/47783233", "UA-2023-12-19-006674-a")</f>
        <v>UA-2023-12-19-006674-a</v>
      </c>
      <c r="C42" s="2" t="str">
        <f>HYPERLINK("https://my.zakupivli.pro/remote/dispatcher/state_contracting_view/18652049", "UA-2023-12-19-006674-a-b1")</f>
        <v>UA-2023-12-19-006674-a-b1</v>
      </c>
      <c r="D42" s="1" t="s">
        <v>736</v>
      </c>
      <c r="E42" s="1" t="s">
        <v>1391</v>
      </c>
      <c r="F42" s="1" t="s">
        <v>737</v>
      </c>
      <c r="G42" s="1" t="s">
        <v>1091</v>
      </c>
      <c r="H42" s="1" t="s">
        <v>1363</v>
      </c>
      <c r="I42" s="1" t="s">
        <v>428</v>
      </c>
      <c r="J42" s="1" t="s">
        <v>876</v>
      </c>
      <c r="K42" s="5">
        <v>36584</v>
      </c>
      <c r="L42" s="6">
        <v>45279</v>
      </c>
      <c r="M42" s="6">
        <v>45291</v>
      </c>
      <c r="N42" s="1" t="s">
        <v>1369</v>
      </c>
    </row>
    <row r="43" spans="1:14" x14ac:dyDescent="0.25">
      <c r="A43" s="4">
        <v>39</v>
      </c>
      <c r="B43" s="2" t="str">
        <f>HYPERLINK("https://my.zakupivli.pro/remote/dispatcher/state_purchase_view/42493791", "UA-2023-05-10-007584-a")</f>
        <v>UA-2023-05-10-007584-a</v>
      </c>
      <c r="C43" s="2" t="str">
        <f>HYPERLINK("https://my.zakupivli.pro/remote/dispatcher/state_contracting_view/16445197", "UA-2023-05-10-007584-a-b1")</f>
        <v>UA-2023-05-10-007584-a-b1</v>
      </c>
      <c r="D43" s="1" t="s">
        <v>1061</v>
      </c>
      <c r="E43" s="1" t="s">
        <v>1060</v>
      </c>
      <c r="F43" s="1" t="s">
        <v>21</v>
      </c>
      <c r="G43" s="1" t="s">
        <v>1092</v>
      </c>
      <c r="H43" s="1" t="s">
        <v>1096</v>
      </c>
      <c r="I43" s="1" t="s">
        <v>429</v>
      </c>
      <c r="J43" s="1" t="s">
        <v>1224</v>
      </c>
      <c r="K43" s="5">
        <v>63300</v>
      </c>
      <c r="L43" s="6">
        <v>45064</v>
      </c>
      <c r="M43" s="6">
        <v>45291</v>
      </c>
      <c r="N43" s="1" t="s">
        <v>1399</v>
      </c>
    </row>
    <row r="44" spans="1:14" x14ac:dyDescent="0.25">
      <c r="A44" s="4">
        <v>40</v>
      </c>
      <c r="B44" s="2" t="str">
        <f>HYPERLINK("https://my.zakupivli.pro/remote/dispatcher/state_purchase_view/45907221", "UA-2023-10-16-009176-a")</f>
        <v>UA-2023-10-16-009176-a</v>
      </c>
      <c r="C44" s="2" t="str">
        <f>HYPERLINK("https://my.zakupivli.pro/remote/dispatcher/state_contracting_view/18159876", "UA-2023-10-16-009176-a-b1")</f>
        <v>UA-2023-10-16-009176-a-b1</v>
      </c>
      <c r="D44" s="1" t="s">
        <v>415</v>
      </c>
      <c r="E44" s="1" t="s">
        <v>420</v>
      </c>
      <c r="F44" s="1" t="s">
        <v>419</v>
      </c>
      <c r="G44" s="1" t="s">
        <v>1056</v>
      </c>
      <c r="H44" s="1" t="s">
        <v>1104</v>
      </c>
      <c r="I44" s="1" t="s">
        <v>509</v>
      </c>
      <c r="J44" s="1" t="s">
        <v>809</v>
      </c>
      <c r="K44" s="5">
        <v>100991.7</v>
      </c>
      <c r="L44" s="6">
        <v>45243</v>
      </c>
      <c r="M44" s="6">
        <v>45291</v>
      </c>
      <c r="N44" s="1" t="s">
        <v>1399</v>
      </c>
    </row>
    <row r="45" spans="1:14" x14ac:dyDescent="0.25">
      <c r="A45" s="4">
        <v>41</v>
      </c>
      <c r="B45" s="2" t="str">
        <f>HYPERLINK("https://my.zakupivli.pro/remote/dispatcher/state_purchase_view/46957563", "UA-2023-11-24-002850-a")</f>
        <v>UA-2023-11-24-002850-a</v>
      </c>
      <c r="C45" s="2" t="str">
        <f>HYPERLINK("https://my.zakupivli.pro/remote/dispatcher/state_contracting_view/18305120", "UA-2023-11-24-002850-a-c1")</f>
        <v>UA-2023-11-24-002850-a-c1</v>
      </c>
      <c r="D45" s="1" t="s">
        <v>940</v>
      </c>
      <c r="E45" s="1" t="s">
        <v>940</v>
      </c>
      <c r="F45" s="1" t="s">
        <v>939</v>
      </c>
      <c r="G45" s="1" t="s">
        <v>1091</v>
      </c>
      <c r="H45" s="1" t="s">
        <v>1134</v>
      </c>
      <c r="I45" s="1" t="s">
        <v>5</v>
      </c>
      <c r="J45" s="1" t="s">
        <v>825</v>
      </c>
      <c r="K45" s="5">
        <v>21511.119999999999</v>
      </c>
      <c r="L45" s="6">
        <v>45252</v>
      </c>
      <c r="M45" s="6">
        <v>45291</v>
      </c>
      <c r="N45" s="1" t="s">
        <v>1369</v>
      </c>
    </row>
    <row r="46" spans="1:14" x14ac:dyDescent="0.25">
      <c r="A46" s="4">
        <v>42</v>
      </c>
      <c r="B46" s="2" t="str">
        <f>HYPERLINK("https://my.zakupivli.pro/remote/dispatcher/state_purchase_view/46015886", "UA-2023-10-19-009516-a")</f>
        <v>UA-2023-10-19-009516-a</v>
      </c>
      <c r="C46" s="2" t="str">
        <f>HYPERLINK("https://my.zakupivli.pro/remote/dispatcher/state_contracting_view/18184579", "UA-2023-10-19-009516-a-c1")</f>
        <v>UA-2023-10-19-009516-a-c1</v>
      </c>
      <c r="D46" s="1" t="s">
        <v>25</v>
      </c>
      <c r="E46" s="1" t="s">
        <v>1162</v>
      </c>
      <c r="F46" s="1" t="s">
        <v>27</v>
      </c>
      <c r="G46" s="1" t="s">
        <v>1056</v>
      </c>
      <c r="H46" s="1" t="s">
        <v>1270</v>
      </c>
      <c r="I46" s="1" t="s">
        <v>550</v>
      </c>
      <c r="J46" s="1" t="s">
        <v>821</v>
      </c>
      <c r="K46" s="5">
        <v>698572.80000000005</v>
      </c>
      <c r="L46" s="6">
        <v>45245</v>
      </c>
      <c r="M46" s="6">
        <v>45291</v>
      </c>
      <c r="N46" s="1" t="s">
        <v>1399</v>
      </c>
    </row>
    <row r="47" spans="1:14" x14ac:dyDescent="0.25">
      <c r="A47" s="4">
        <v>43</v>
      </c>
      <c r="B47" s="2" t="str">
        <f>HYPERLINK("https://my.zakupivli.pro/remote/dispatcher/state_purchase_view/43419844", "UA-2023-06-20-009429-a")</f>
        <v>UA-2023-06-20-009429-a</v>
      </c>
      <c r="C47" s="2" t="str">
        <f>HYPERLINK("https://my.zakupivli.pro/remote/dispatcher/state_contracting_view/17141096", "UA-2023-06-20-009429-a-a1")</f>
        <v>UA-2023-06-20-009429-a-a1</v>
      </c>
      <c r="D47" s="1" t="s">
        <v>657</v>
      </c>
      <c r="E47" s="1" t="s">
        <v>1112</v>
      </c>
      <c r="F47" s="1" t="s">
        <v>658</v>
      </c>
      <c r="G47" s="1" t="s">
        <v>1056</v>
      </c>
      <c r="H47" s="1" t="s">
        <v>1167</v>
      </c>
      <c r="I47" s="1" t="s">
        <v>663</v>
      </c>
      <c r="J47" s="1" t="s">
        <v>397</v>
      </c>
      <c r="K47" s="5">
        <v>451980</v>
      </c>
      <c r="L47" s="6">
        <v>45138</v>
      </c>
      <c r="M47" s="6">
        <v>45291</v>
      </c>
      <c r="N47" s="1" t="s">
        <v>1399</v>
      </c>
    </row>
    <row r="48" spans="1:14" x14ac:dyDescent="0.25">
      <c r="A48" s="4">
        <v>44</v>
      </c>
      <c r="B48" s="2" t="str">
        <f>HYPERLINK("https://my.zakupivli.pro/remote/dispatcher/state_purchase_view/41204061", "UA-2023-03-03-001541-a")</f>
        <v>UA-2023-03-03-001541-a</v>
      </c>
      <c r="C48" s="2" t="str">
        <f>HYPERLINK("https://my.zakupivli.pro/remote/dispatcher/state_contracting_view/15969673", "UA-2023-03-03-001541-a-b1")</f>
        <v>UA-2023-03-03-001541-a-b1</v>
      </c>
      <c r="D48" s="1" t="s">
        <v>86</v>
      </c>
      <c r="E48" s="1" t="s">
        <v>1356</v>
      </c>
      <c r="F48" s="1" t="s">
        <v>85</v>
      </c>
      <c r="G48" s="1" t="s">
        <v>1056</v>
      </c>
      <c r="H48" s="1" t="s">
        <v>1157</v>
      </c>
      <c r="I48" s="1" t="s">
        <v>549</v>
      </c>
      <c r="J48" s="1" t="s">
        <v>57</v>
      </c>
      <c r="K48" s="5">
        <v>281722.8</v>
      </c>
      <c r="L48" s="6">
        <v>45009</v>
      </c>
      <c r="M48" s="6">
        <v>45291</v>
      </c>
      <c r="N48" s="1" t="s">
        <v>1399</v>
      </c>
    </row>
    <row r="49" spans="1:14" x14ac:dyDescent="0.25">
      <c r="A49" s="4">
        <v>45</v>
      </c>
      <c r="B49" s="2" t="str">
        <f>HYPERLINK("https://my.zakupivli.pro/remote/dispatcher/state_purchase_view/47158665", "UA-2023-12-01-002051-a")</f>
        <v>UA-2023-12-01-002051-a</v>
      </c>
      <c r="C49" s="2" t="str">
        <f>HYPERLINK("https://my.zakupivli.pro/remote/dispatcher/state_contracting_view/18709335", "UA-2023-12-01-002051-a-a1")</f>
        <v>UA-2023-12-01-002051-a-a1</v>
      </c>
      <c r="D49" s="1" t="s">
        <v>23</v>
      </c>
      <c r="E49" s="1" t="s">
        <v>1153</v>
      </c>
      <c r="F49" s="1" t="s">
        <v>27</v>
      </c>
      <c r="G49" s="1" t="s">
        <v>1056</v>
      </c>
      <c r="H49" s="1" t="s">
        <v>1168</v>
      </c>
      <c r="I49" s="1" t="s">
        <v>497</v>
      </c>
      <c r="J49" s="1" t="s">
        <v>878</v>
      </c>
      <c r="K49" s="5">
        <v>2660872</v>
      </c>
      <c r="L49" s="6">
        <v>45280</v>
      </c>
      <c r="M49" s="6">
        <v>45291</v>
      </c>
      <c r="N49" s="1" t="s">
        <v>1399</v>
      </c>
    </row>
    <row r="50" spans="1:14" x14ac:dyDescent="0.25">
      <c r="A50" s="4">
        <v>46</v>
      </c>
      <c r="B50" s="2" t="str">
        <f>HYPERLINK("https://my.zakupivli.pro/remote/dispatcher/state_purchase_view/44713200", "UA-2023-08-23-009883-a")</f>
        <v>UA-2023-08-23-009883-a</v>
      </c>
      <c r="C50" s="2" t="str">
        <f>HYPERLINK("https://my.zakupivli.pro/remote/dispatcher/state_contracting_view/17349255", "UA-2023-08-23-009883-a-a1")</f>
        <v>UA-2023-08-23-009883-a-a1</v>
      </c>
      <c r="D50" s="1" t="s">
        <v>577</v>
      </c>
      <c r="E50" s="1" t="s">
        <v>577</v>
      </c>
      <c r="F50" s="1" t="s">
        <v>574</v>
      </c>
      <c r="G50" s="1" t="s">
        <v>1091</v>
      </c>
      <c r="H50" s="1" t="s">
        <v>1177</v>
      </c>
      <c r="I50" s="1" t="s">
        <v>498</v>
      </c>
      <c r="J50" s="1" t="s">
        <v>542</v>
      </c>
      <c r="K50" s="5">
        <v>47533.2</v>
      </c>
      <c r="L50" s="6">
        <v>45161</v>
      </c>
      <c r="M50" s="6">
        <v>45291</v>
      </c>
      <c r="N50" s="1" t="s">
        <v>1369</v>
      </c>
    </row>
    <row r="51" spans="1:14" x14ac:dyDescent="0.25">
      <c r="A51" s="4">
        <v>47</v>
      </c>
      <c r="B51" s="2" t="str">
        <f>HYPERLINK("https://my.zakupivli.pro/remote/dispatcher/state_purchase_view/45117388", "UA-2023-09-12-009672-a")</f>
        <v>UA-2023-09-12-009672-a</v>
      </c>
      <c r="C51" s="2" t="str">
        <f>HYPERLINK("https://my.zakupivli.pro/remote/dispatcher/state_contracting_view/17523064", "UA-2023-09-12-009672-a-a1")</f>
        <v>UA-2023-09-12-009672-a-a1</v>
      </c>
      <c r="D51" s="1" t="s">
        <v>387</v>
      </c>
      <c r="E51" s="1" t="s">
        <v>389</v>
      </c>
      <c r="F51" s="1" t="s">
        <v>390</v>
      </c>
      <c r="G51" s="1" t="s">
        <v>1091</v>
      </c>
      <c r="H51" s="1" t="s">
        <v>1365</v>
      </c>
      <c r="I51" s="1" t="s">
        <v>280</v>
      </c>
      <c r="J51" s="1" t="s">
        <v>638</v>
      </c>
      <c r="K51" s="5">
        <v>5720</v>
      </c>
      <c r="L51" s="6">
        <v>45177</v>
      </c>
      <c r="M51" s="6">
        <v>45291</v>
      </c>
      <c r="N51" s="1" t="s">
        <v>1369</v>
      </c>
    </row>
    <row r="52" spans="1:14" x14ac:dyDescent="0.25">
      <c r="A52" s="4">
        <v>48</v>
      </c>
      <c r="B52" s="2" t="str">
        <f>HYPERLINK("https://my.zakupivli.pro/remote/dispatcher/state_purchase_view/45101006", "UA-2023-09-12-002270-a")</f>
        <v>UA-2023-09-12-002270-a</v>
      </c>
      <c r="C52" s="2" t="str">
        <f>HYPERLINK("https://my.zakupivli.pro/remote/dispatcher/state_contracting_view/17515801", "UA-2023-09-12-002270-a-a1")</f>
        <v>UA-2023-09-12-002270-a-a1</v>
      </c>
      <c r="D52" s="1" t="s">
        <v>581</v>
      </c>
      <c r="E52" s="1" t="s">
        <v>583</v>
      </c>
      <c r="F52" s="1" t="s">
        <v>582</v>
      </c>
      <c r="G52" s="1" t="s">
        <v>1091</v>
      </c>
      <c r="H52" s="1" t="s">
        <v>1265</v>
      </c>
      <c r="I52" s="1" t="s">
        <v>551</v>
      </c>
      <c r="J52" s="1" t="s">
        <v>639</v>
      </c>
      <c r="K52" s="5">
        <v>28622</v>
      </c>
      <c r="L52" s="6">
        <v>45180</v>
      </c>
      <c r="M52" s="6">
        <v>45291</v>
      </c>
      <c r="N52" s="1" t="s">
        <v>1369</v>
      </c>
    </row>
    <row r="53" spans="1:14" x14ac:dyDescent="0.25">
      <c r="A53" s="4">
        <v>49</v>
      </c>
      <c r="B53" s="2" t="str">
        <f>HYPERLINK("https://my.zakupivli.pro/remote/dispatcher/state_purchase_view/44536991", "UA-2023-08-15-011843-a")</f>
        <v>UA-2023-08-15-011843-a</v>
      </c>
      <c r="C53" s="2" t="str">
        <f>HYPERLINK("https://my.zakupivli.pro/remote/dispatcher/state_contracting_view/17273941", "UA-2023-08-15-011843-a-a1")</f>
        <v>UA-2023-08-15-011843-a-a1</v>
      </c>
      <c r="D53" s="1" t="s">
        <v>745</v>
      </c>
      <c r="E53" s="1" t="s">
        <v>750</v>
      </c>
      <c r="F53" s="1" t="s">
        <v>749</v>
      </c>
      <c r="G53" s="1" t="s">
        <v>1091</v>
      </c>
      <c r="H53" s="1" t="s">
        <v>1245</v>
      </c>
      <c r="I53" s="1" t="s">
        <v>753</v>
      </c>
      <c r="J53" s="1" t="s">
        <v>521</v>
      </c>
      <c r="K53" s="5">
        <v>16875.759999999998</v>
      </c>
      <c r="L53" s="6">
        <v>45153</v>
      </c>
      <c r="M53" s="6">
        <v>45291</v>
      </c>
      <c r="N53" s="1" t="s">
        <v>1369</v>
      </c>
    </row>
    <row r="54" spans="1:14" x14ac:dyDescent="0.25">
      <c r="A54" s="4">
        <v>50</v>
      </c>
      <c r="B54" s="2" t="str">
        <f>HYPERLINK("https://my.zakupivli.pro/remote/dispatcher/state_purchase_view/46625549", "UA-2023-11-14-001633-a")</f>
        <v>UA-2023-11-14-001633-a</v>
      </c>
      <c r="C54" s="2" t="str">
        <f>HYPERLINK("https://my.zakupivli.pro/remote/dispatcher/state_contracting_view/18165219", "UA-2023-11-14-001633-a-b1")</f>
        <v>UA-2023-11-14-001633-a-b1</v>
      </c>
      <c r="D54" s="1" t="s">
        <v>489</v>
      </c>
      <c r="E54" s="1" t="s">
        <v>493</v>
      </c>
      <c r="F54" s="1" t="s">
        <v>492</v>
      </c>
      <c r="G54" s="1" t="s">
        <v>1091</v>
      </c>
      <c r="H54" s="1" t="s">
        <v>1177</v>
      </c>
      <c r="I54" s="1" t="s">
        <v>498</v>
      </c>
      <c r="J54" s="1" t="s">
        <v>813</v>
      </c>
      <c r="K54" s="5">
        <v>11904</v>
      </c>
      <c r="L54" s="6">
        <v>45243</v>
      </c>
      <c r="M54" s="6">
        <v>45291</v>
      </c>
      <c r="N54" s="1" t="s">
        <v>1369</v>
      </c>
    </row>
    <row r="55" spans="1:14" x14ac:dyDescent="0.25">
      <c r="A55" s="4">
        <v>51</v>
      </c>
      <c r="B55" s="2" t="str">
        <f>HYPERLINK("https://my.zakupivli.pro/remote/dispatcher/state_purchase_view/45924601", "UA-2023-10-17-001448-a")</f>
        <v>UA-2023-10-17-001448-a</v>
      </c>
      <c r="C55" s="2" t="str">
        <f>HYPERLINK("https://my.zakupivli.pro/remote/dispatcher/state_contracting_view/17865020", "UA-2023-10-17-001448-a-b1")</f>
        <v>UA-2023-10-17-001448-a-b1</v>
      </c>
      <c r="D55" s="1" t="s">
        <v>200</v>
      </c>
      <c r="E55" s="1" t="s">
        <v>202</v>
      </c>
      <c r="F55" s="1" t="s">
        <v>201</v>
      </c>
      <c r="G55" s="1" t="s">
        <v>1091</v>
      </c>
      <c r="H55" s="1" t="s">
        <v>1260</v>
      </c>
      <c r="I55" s="1" t="s">
        <v>528</v>
      </c>
      <c r="J55" s="1" t="s">
        <v>1066</v>
      </c>
      <c r="K55" s="5">
        <v>17240.400000000001</v>
      </c>
      <c r="L55" s="6">
        <v>45212</v>
      </c>
      <c r="M55" s="6">
        <v>45291</v>
      </c>
      <c r="N55" s="1" t="s">
        <v>1369</v>
      </c>
    </row>
    <row r="56" spans="1:14" x14ac:dyDescent="0.25">
      <c r="A56" s="4">
        <v>52</v>
      </c>
      <c r="B56" s="2" t="str">
        <f>HYPERLINK("https://my.zakupivli.pro/remote/dispatcher/state_purchase_view/46252837", "UA-2023-10-30-004243-a")</f>
        <v>UA-2023-10-30-004243-a</v>
      </c>
      <c r="C56" s="2" t="str">
        <f>HYPERLINK("https://my.zakupivli.pro/remote/dispatcher/state_contracting_view/18006143", "UA-2023-10-30-004243-a-a1")</f>
        <v>UA-2023-10-30-004243-a-a1</v>
      </c>
      <c r="D56" s="1" t="s">
        <v>842</v>
      </c>
      <c r="E56" s="1" t="s">
        <v>1400</v>
      </c>
      <c r="F56" s="1" t="s">
        <v>840</v>
      </c>
      <c r="G56" s="1" t="s">
        <v>1091</v>
      </c>
      <c r="H56" s="1" t="s">
        <v>1030</v>
      </c>
      <c r="I56" s="1" t="s">
        <v>207</v>
      </c>
      <c r="J56" s="1" t="s">
        <v>1325</v>
      </c>
      <c r="K56" s="5">
        <v>614.58000000000004</v>
      </c>
      <c r="L56" s="6">
        <v>45225</v>
      </c>
      <c r="M56" s="6">
        <v>45291</v>
      </c>
      <c r="N56" s="1" t="s">
        <v>1369</v>
      </c>
    </row>
    <row r="57" spans="1:14" x14ac:dyDescent="0.25">
      <c r="A57" s="4">
        <v>53</v>
      </c>
      <c r="B57" s="2" t="str">
        <f>HYPERLINK("https://my.zakupivli.pro/remote/dispatcher/state_purchase_view/47156688", "UA-2023-12-01-001171-a")</f>
        <v>UA-2023-12-01-001171-a</v>
      </c>
      <c r="C57" s="2" t="str">
        <f>HYPERLINK("https://my.zakupivli.pro/remote/dispatcher/state_contracting_view/18388038", "UA-2023-12-01-001171-a-a1")</f>
        <v>UA-2023-12-01-001171-a-a1</v>
      </c>
      <c r="D57" s="1" t="s">
        <v>293</v>
      </c>
      <c r="E57" s="1" t="s">
        <v>1184</v>
      </c>
      <c r="F57" s="1" t="s">
        <v>299</v>
      </c>
      <c r="G57" s="1" t="s">
        <v>1091</v>
      </c>
      <c r="H57" s="1" t="s">
        <v>1286</v>
      </c>
      <c r="I57" s="1" t="s">
        <v>291</v>
      </c>
      <c r="J57" s="1" t="s">
        <v>853</v>
      </c>
      <c r="K57" s="5">
        <v>47890.2</v>
      </c>
      <c r="L57" s="6">
        <v>45260</v>
      </c>
      <c r="M57" s="6">
        <v>45291</v>
      </c>
      <c r="N57" s="1" t="s">
        <v>1369</v>
      </c>
    </row>
    <row r="58" spans="1:14" x14ac:dyDescent="0.25">
      <c r="A58" s="4">
        <v>54</v>
      </c>
      <c r="B58" s="2" t="str">
        <f>HYPERLINK("https://my.zakupivli.pro/remote/dispatcher/state_purchase_view/43498469", "UA-2023-06-22-014895-a")</f>
        <v>UA-2023-06-22-014895-a</v>
      </c>
      <c r="C58" s="2" t="str">
        <f>HYPERLINK("https://my.zakupivli.pro/remote/dispatcher/state_contracting_view/16821762", "UA-2023-06-22-014895-a-a1")</f>
        <v>UA-2023-06-22-014895-a-a1</v>
      </c>
      <c r="D58" s="1" t="s">
        <v>591</v>
      </c>
      <c r="E58" s="1" t="s">
        <v>1472</v>
      </c>
      <c r="F58" s="1" t="s">
        <v>594</v>
      </c>
      <c r="G58" s="1" t="s">
        <v>1091</v>
      </c>
      <c r="H58" s="1" t="s">
        <v>1148</v>
      </c>
      <c r="I58" s="1" t="s">
        <v>282</v>
      </c>
      <c r="J58" s="1" t="s">
        <v>253</v>
      </c>
      <c r="K58" s="5">
        <v>6890</v>
      </c>
      <c r="L58" s="6">
        <v>45098</v>
      </c>
      <c r="M58" s="6">
        <v>45291</v>
      </c>
      <c r="N58" s="1" t="s">
        <v>1369</v>
      </c>
    </row>
    <row r="59" spans="1:14" x14ac:dyDescent="0.25">
      <c r="A59" s="4">
        <v>55</v>
      </c>
      <c r="B59" s="2" t="str">
        <f>HYPERLINK("https://my.zakupivli.pro/remote/dispatcher/state_purchase_view/43745756", "UA-2023-07-05-012201-a")</f>
        <v>UA-2023-07-05-012201-a</v>
      </c>
      <c r="C59" s="2" t="str">
        <f>HYPERLINK("https://my.zakupivli.pro/remote/dispatcher/state_contracting_view/16932459", "UA-2023-07-05-012201-a-c1")</f>
        <v>UA-2023-07-05-012201-a-c1</v>
      </c>
      <c r="D59" s="1" t="s">
        <v>732</v>
      </c>
      <c r="E59" s="1" t="s">
        <v>1372</v>
      </c>
      <c r="F59" s="1" t="s">
        <v>730</v>
      </c>
      <c r="G59" s="1" t="s">
        <v>1091</v>
      </c>
      <c r="H59" s="1" t="s">
        <v>1068</v>
      </c>
      <c r="I59" s="1" t="s">
        <v>277</v>
      </c>
      <c r="J59" s="1" t="s">
        <v>283</v>
      </c>
      <c r="K59" s="5">
        <v>330008.40000000002</v>
      </c>
      <c r="L59" s="6">
        <v>45111</v>
      </c>
      <c r="M59" s="6">
        <v>45291</v>
      </c>
      <c r="N59" s="1" t="s">
        <v>1369</v>
      </c>
    </row>
    <row r="60" spans="1:14" x14ac:dyDescent="0.25">
      <c r="A60" s="4">
        <v>56</v>
      </c>
      <c r="B60" s="2" t="str">
        <f>HYPERLINK("https://my.zakupivli.pro/remote/dispatcher/state_purchase_view/42596632", "UA-2023-05-15-012040-a")</f>
        <v>UA-2023-05-15-012040-a</v>
      </c>
      <c r="C60" s="2" t="str">
        <f>HYPERLINK("https://my.zakupivli.pro/remote/dispatcher/state_contracting_view/16403099", "UA-2023-05-15-012040-a-b1")</f>
        <v>UA-2023-05-15-012040-a-b1</v>
      </c>
      <c r="D60" s="1" t="s">
        <v>137</v>
      </c>
      <c r="E60" s="1" t="s">
        <v>1480</v>
      </c>
      <c r="F60" s="1" t="s">
        <v>135</v>
      </c>
      <c r="G60" s="1" t="s">
        <v>1091</v>
      </c>
      <c r="H60" s="1" t="s">
        <v>1095</v>
      </c>
      <c r="I60" s="1" t="s">
        <v>252</v>
      </c>
      <c r="J60" s="1" t="s">
        <v>157</v>
      </c>
      <c r="K60" s="5">
        <v>15810</v>
      </c>
      <c r="L60" s="6">
        <v>45058</v>
      </c>
      <c r="M60" s="6">
        <v>45291</v>
      </c>
      <c r="N60" s="1" t="s">
        <v>1369</v>
      </c>
    </row>
    <row r="61" spans="1:14" x14ac:dyDescent="0.25">
      <c r="A61" s="4">
        <v>57</v>
      </c>
      <c r="B61" s="2" t="str">
        <f>HYPERLINK("https://my.zakupivli.pro/remote/dispatcher/state_purchase_view/43099531", "UA-2023-06-07-000561-a")</f>
        <v>UA-2023-06-07-000561-a</v>
      </c>
      <c r="C61" s="2" t="str">
        <f>HYPERLINK("https://my.zakupivli.pro/remote/dispatcher/state_contracting_view/16631902", "UA-2023-06-07-000561-a-a1")</f>
        <v>UA-2023-06-07-000561-a-a1</v>
      </c>
      <c r="D61" s="1" t="s">
        <v>943</v>
      </c>
      <c r="E61" s="1" t="s">
        <v>1488</v>
      </c>
      <c r="F61" s="1" t="s">
        <v>942</v>
      </c>
      <c r="G61" s="1" t="s">
        <v>1091</v>
      </c>
      <c r="H61" s="1" t="s">
        <v>1123</v>
      </c>
      <c r="I61" s="1" t="s">
        <v>500</v>
      </c>
      <c r="J61" s="1" t="s">
        <v>1150</v>
      </c>
      <c r="K61" s="5">
        <v>4380</v>
      </c>
      <c r="L61" s="6">
        <v>45079</v>
      </c>
      <c r="M61" s="6">
        <v>45291</v>
      </c>
      <c r="N61" s="1" t="s">
        <v>1369</v>
      </c>
    </row>
    <row r="62" spans="1:14" x14ac:dyDescent="0.25">
      <c r="A62" s="4">
        <v>58</v>
      </c>
      <c r="B62" s="2" t="str">
        <f>HYPERLINK("https://my.zakupivli.pro/remote/dispatcher/state_purchase_view/44204424", "UA-2023-07-28-006185-a")</f>
        <v>UA-2023-07-28-006185-a</v>
      </c>
      <c r="C62" s="2" t="str">
        <f>HYPERLINK("https://my.zakupivli.pro/remote/dispatcher/state_contracting_view/17131630", "UA-2023-07-28-006185-a-b1")</f>
        <v>UA-2023-07-28-006185-a-b1</v>
      </c>
      <c r="D62" s="1" t="s">
        <v>421</v>
      </c>
      <c r="E62" s="1" t="s">
        <v>1216</v>
      </c>
      <c r="F62" s="1" t="s">
        <v>422</v>
      </c>
      <c r="G62" s="1" t="s">
        <v>1091</v>
      </c>
      <c r="H62" s="1" t="s">
        <v>1274</v>
      </c>
      <c r="I62" s="1" t="s">
        <v>509</v>
      </c>
      <c r="J62" s="1" t="s">
        <v>361</v>
      </c>
      <c r="K62" s="5">
        <v>6573</v>
      </c>
      <c r="L62" s="6">
        <v>45134</v>
      </c>
      <c r="M62" s="6">
        <v>45291</v>
      </c>
      <c r="N62" s="1" t="s">
        <v>1369</v>
      </c>
    </row>
    <row r="63" spans="1:14" x14ac:dyDescent="0.25">
      <c r="A63" s="4">
        <v>59</v>
      </c>
      <c r="B63" s="2" t="str">
        <f>HYPERLINK("https://my.zakupivli.pro/remote/dispatcher/state_purchase_view/43644431", "UA-2023-06-29-009972-a")</f>
        <v>UA-2023-06-29-009972-a</v>
      </c>
      <c r="C63" s="2" t="str">
        <f>HYPERLINK("https://my.zakupivli.pro/remote/dispatcher/state_contracting_view/16888633", "UA-2023-06-29-009972-a-c1")</f>
        <v>UA-2023-06-29-009972-a-c1</v>
      </c>
      <c r="D63" s="1" t="s">
        <v>613</v>
      </c>
      <c r="E63" s="1" t="s">
        <v>1393</v>
      </c>
      <c r="F63" s="1" t="s">
        <v>612</v>
      </c>
      <c r="G63" s="1" t="s">
        <v>1091</v>
      </c>
      <c r="H63" s="1" t="s">
        <v>1177</v>
      </c>
      <c r="I63" s="1" t="s">
        <v>498</v>
      </c>
      <c r="J63" s="1" t="s">
        <v>271</v>
      </c>
      <c r="K63" s="5">
        <v>2610.6</v>
      </c>
      <c r="L63" s="6">
        <v>45105</v>
      </c>
      <c r="M63" s="6">
        <v>45291</v>
      </c>
      <c r="N63" s="1" t="s">
        <v>1369</v>
      </c>
    </row>
    <row r="64" spans="1:14" x14ac:dyDescent="0.25">
      <c r="A64" s="4">
        <v>60</v>
      </c>
      <c r="B64" s="2" t="str">
        <f>HYPERLINK("https://my.zakupivli.pro/remote/dispatcher/state_purchase_view/48072692", "UA-2023-12-27-007405-a")</f>
        <v>UA-2023-12-27-007405-a</v>
      </c>
      <c r="C64" s="2" t="str">
        <f>HYPERLINK("https://my.zakupivli.pro/remote/dispatcher/state_contracting_view/18784258", "UA-2023-12-27-007405-a-b1")</f>
        <v>UA-2023-12-27-007405-a-b1</v>
      </c>
      <c r="D64" s="1" t="s">
        <v>129</v>
      </c>
      <c r="E64" s="1" t="s">
        <v>129</v>
      </c>
      <c r="F64" s="1" t="s">
        <v>127</v>
      </c>
      <c r="G64" s="1" t="s">
        <v>1091</v>
      </c>
      <c r="H64" s="1" t="s">
        <v>1106</v>
      </c>
      <c r="I64" s="1" t="s">
        <v>158</v>
      </c>
      <c r="J64" s="1" t="s">
        <v>887</v>
      </c>
      <c r="K64" s="5">
        <v>4200</v>
      </c>
      <c r="L64" s="6">
        <v>45287</v>
      </c>
      <c r="M64" s="6">
        <v>45291</v>
      </c>
      <c r="N64" s="1" t="s">
        <v>1369</v>
      </c>
    </row>
    <row r="65" spans="1:14" x14ac:dyDescent="0.25">
      <c r="A65" s="4">
        <v>61</v>
      </c>
      <c r="B65" s="2" t="str">
        <f>HYPERLINK("https://my.zakupivli.pro/remote/dispatcher/state_purchase_view/46412490", "UA-2023-11-06-005993-a")</f>
        <v>UA-2023-11-06-005993-a</v>
      </c>
      <c r="C65" s="2" t="str">
        <f>HYPERLINK("https://my.zakupivli.pro/remote/dispatcher/state_contracting_view/18323324", "UA-2023-11-06-005993-a-a1")</f>
        <v>UA-2023-11-06-005993-a-a1</v>
      </c>
      <c r="D65" s="1" t="s">
        <v>456</v>
      </c>
      <c r="E65" s="1" t="s">
        <v>1085</v>
      </c>
      <c r="F65" s="1" t="s">
        <v>457</v>
      </c>
      <c r="G65" s="1" t="s">
        <v>1056</v>
      </c>
      <c r="H65" s="1" t="s">
        <v>1252</v>
      </c>
      <c r="I65" s="1" t="s">
        <v>519</v>
      </c>
      <c r="J65" s="1" t="s">
        <v>829</v>
      </c>
      <c r="K65" s="5">
        <v>38505.599999999999</v>
      </c>
      <c r="L65" s="6">
        <v>45254</v>
      </c>
      <c r="M65" s="6">
        <v>45291</v>
      </c>
      <c r="N65" s="1" t="s">
        <v>1399</v>
      </c>
    </row>
    <row r="66" spans="1:14" x14ac:dyDescent="0.25">
      <c r="A66" s="4">
        <v>62</v>
      </c>
      <c r="B66" s="2" t="str">
        <f>HYPERLINK("https://my.zakupivli.pro/remote/dispatcher/state_purchase_view/41266623", "UA-2023-03-07-004455-a")</f>
        <v>UA-2023-03-07-004455-a</v>
      </c>
      <c r="C66" s="2" t="str">
        <f>HYPERLINK("https://my.zakupivli.pro/remote/dispatcher/state_contracting_view/15951312", "UA-2023-03-07-004455-a-a1")</f>
        <v>UA-2023-03-07-004455-a-a1</v>
      </c>
      <c r="D66" s="1" t="s">
        <v>951</v>
      </c>
      <c r="E66" s="1" t="s">
        <v>1384</v>
      </c>
      <c r="F66" s="1" t="s">
        <v>950</v>
      </c>
      <c r="G66" s="1" t="s">
        <v>1056</v>
      </c>
      <c r="H66" s="1" t="s">
        <v>1169</v>
      </c>
      <c r="I66" s="1" t="s">
        <v>506</v>
      </c>
      <c r="J66" s="1" t="s">
        <v>52</v>
      </c>
      <c r="K66" s="5">
        <v>132000</v>
      </c>
      <c r="L66" s="6">
        <v>45006</v>
      </c>
      <c r="M66" s="6">
        <v>45291</v>
      </c>
      <c r="N66" s="1" t="s">
        <v>1399</v>
      </c>
    </row>
    <row r="67" spans="1:14" x14ac:dyDescent="0.25">
      <c r="A67" s="4">
        <v>63</v>
      </c>
      <c r="B67" s="2" t="str">
        <f>HYPERLINK("https://my.zakupivli.pro/remote/dispatcher/state_purchase_view/41826499", "UA-2023-04-05-008539-a")</f>
        <v>UA-2023-04-05-008539-a</v>
      </c>
      <c r="C67" s="2" t="str">
        <f>HYPERLINK("https://my.zakupivli.pro/remote/dispatcher/state_contracting_view/16246212", "UA-2023-04-05-008539-a-c1")</f>
        <v>UA-2023-04-05-008539-a-c1</v>
      </c>
      <c r="D67" s="1" t="s">
        <v>682</v>
      </c>
      <c r="E67" s="1" t="s">
        <v>1147</v>
      </c>
      <c r="F67" s="1" t="s">
        <v>681</v>
      </c>
      <c r="G67" s="1" t="s">
        <v>1056</v>
      </c>
      <c r="H67" s="1" t="s">
        <v>1297</v>
      </c>
      <c r="I67" s="1" t="s">
        <v>552</v>
      </c>
      <c r="J67" s="1" t="s">
        <v>125</v>
      </c>
      <c r="K67" s="5">
        <v>159289.56</v>
      </c>
      <c r="L67" s="6">
        <v>45044</v>
      </c>
      <c r="M67" s="6">
        <v>45291</v>
      </c>
      <c r="N67" s="1" t="s">
        <v>1399</v>
      </c>
    </row>
    <row r="68" spans="1:14" x14ac:dyDescent="0.25">
      <c r="A68" s="4">
        <v>64</v>
      </c>
      <c r="B68" s="2" t="str">
        <f>HYPERLINK("https://my.zakupivli.pro/remote/dispatcher/state_purchase_view/43977274", "UA-2023-07-18-003275-a")</f>
        <v>UA-2023-07-18-003275-a</v>
      </c>
      <c r="C68" s="2" t="str">
        <f>HYPERLINK("https://my.zakupivli.pro/remote/dispatcher/state_contracting_view/17282738", "UA-2023-07-18-003275-a-b1")</f>
        <v>UA-2023-07-18-003275-a-b1</v>
      </c>
      <c r="D68" s="1" t="s">
        <v>740</v>
      </c>
      <c r="E68" s="1" t="s">
        <v>1456</v>
      </c>
      <c r="F68" s="1" t="s">
        <v>738</v>
      </c>
      <c r="G68" s="1" t="s">
        <v>1056</v>
      </c>
      <c r="H68" s="1" t="s">
        <v>1347</v>
      </c>
      <c r="I68" s="1" t="s">
        <v>313</v>
      </c>
      <c r="J68" s="1" t="s">
        <v>524</v>
      </c>
      <c r="K68" s="5">
        <v>139154.4</v>
      </c>
      <c r="L68" s="6">
        <v>45154</v>
      </c>
      <c r="M68" s="6">
        <v>45291</v>
      </c>
      <c r="N68" s="1" t="s">
        <v>1399</v>
      </c>
    </row>
    <row r="69" spans="1:14" x14ac:dyDescent="0.25">
      <c r="A69" s="4">
        <v>65</v>
      </c>
      <c r="B69" s="2" t="str">
        <f>HYPERLINK("https://my.zakupivli.pro/remote/dispatcher/state_purchase_view/40017105", "UA-2023-01-12-003507-a")</f>
        <v>UA-2023-01-12-003507-a</v>
      </c>
      <c r="C69" s="2" t="str">
        <f>HYPERLINK("https://my.zakupivli.pro/remote/dispatcher/state_contracting_view/15347468", "UA-2023-01-12-003507-a-b1")</f>
        <v>UA-2023-01-12-003507-a-b1</v>
      </c>
      <c r="D69" s="1" t="s">
        <v>1063</v>
      </c>
      <c r="E69" s="1" t="s">
        <v>1063</v>
      </c>
      <c r="F69" s="1" t="s">
        <v>21</v>
      </c>
      <c r="G69" s="1" t="s">
        <v>1092</v>
      </c>
      <c r="H69" s="1" t="s">
        <v>1304</v>
      </c>
      <c r="I69" s="1" t="s">
        <v>700</v>
      </c>
      <c r="J69" s="1" t="s">
        <v>1328</v>
      </c>
      <c r="K69" s="5">
        <v>414875</v>
      </c>
      <c r="L69" s="6">
        <v>44949</v>
      </c>
      <c r="M69" s="6">
        <v>45291</v>
      </c>
      <c r="N69" s="1" t="s">
        <v>1399</v>
      </c>
    </row>
    <row r="70" spans="1:14" x14ac:dyDescent="0.25">
      <c r="A70" s="4">
        <v>66</v>
      </c>
      <c r="B70" s="2" t="str">
        <f>HYPERLINK("https://my.zakupivli.pro/remote/dispatcher/state_purchase_view/42237592", "UA-2023-04-27-010265-a")</f>
        <v>UA-2023-04-27-010265-a</v>
      </c>
      <c r="C70" s="2" t="str">
        <f>HYPERLINK("https://my.zakupivli.pro/remote/dispatcher/state_contracting_view/16237445", "UA-2023-04-27-010265-a-b1")</f>
        <v>UA-2023-04-27-010265-a-b1</v>
      </c>
      <c r="D70" s="1" t="s">
        <v>100</v>
      </c>
      <c r="E70" s="1" t="s">
        <v>1428</v>
      </c>
      <c r="F70" s="1" t="s">
        <v>97</v>
      </c>
      <c r="G70" s="1" t="s">
        <v>1091</v>
      </c>
      <c r="H70" s="1" t="s">
        <v>1343</v>
      </c>
      <c r="I70" s="1" t="s">
        <v>275</v>
      </c>
      <c r="J70" s="1" t="s">
        <v>117</v>
      </c>
      <c r="K70" s="5">
        <v>26100</v>
      </c>
      <c r="L70" s="6">
        <v>45041</v>
      </c>
      <c r="M70" s="6">
        <v>45291</v>
      </c>
      <c r="N70" s="1" t="s">
        <v>1369</v>
      </c>
    </row>
    <row r="71" spans="1:14" x14ac:dyDescent="0.25">
      <c r="A71" s="4">
        <v>67</v>
      </c>
      <c r="B71" s="2" t="str">
        <f>HYPERLINK("https://my.zakupivli.pro/remote/dispatcher/state_purchase_view/46808405", "UA-2023-11-20-011329-a")</f>
        <v>UA-2023-11-20-011329-a</v>
      </c>
      <c r="C71" s="2" t="str">
        <f>HYPERLINK("https://my.zakupivli.pro/remote/dispatcher/state_contracting_view/18242873", "UA-2023-11-20-011329-a-c1")</f>
        <v>UA-2023-11-20-011329-a-c1</v>
      </c>
      <c r="D71" s="1" t="s">
        <v>353</v>
      </c>
      <c r="E71" s="1" t="s">
        <v>357</v>
      </c>
      <c r="F71" s="1" t="s">
        <v>356</v>
      </c>
      <c r="G71" s="1" t="s">
        <v>1091</v>
      </c>
      <c r="H71" s="1" t="s">
        <v>1365</v>
      </c>
      <c r="I71" s="1" t="s">
        <v>280</v>
      </c>
      <c r="J71" s="1" t="s">
        <v>822</v>
      </c>
      <c r="K71" s="5">
        <v>20000</v>
      </c>
      <c r="L71" s="6">
        <v>45250</v>
      </c>
      <c r="M71" s="6">
        <v>45291</v>
      </c>
      <c r="N71" s="1" t="s">
        <v>1369</v>
      </c>
    </row>
    <row r="72" spans="1:14" x14ac:dyDescent="0.25">
      <c r="A72" s="4">
        <v>68</v>
      </c>
      <c r="B72" s="2" t="str">
        <f>HYPERLINK("https://my.zakupivli.pro/remote/dispatcher/state_purchase_view/45196456", "UA-2023-09-15-000234-a")</f>
        <v>UA-2023-09-15-000234-a</v>
      </c>
      <c r="C72" s="2" t="str">
        <f>HYPERLINK("https://my.zakupivli.pro/remote/dispatcher/state_contracting_view/17556104", "UA-2023-09-15-000234-a-a1")</f>
        <v>UA-2023-09-15-000234-a-a1</v>
      </c>
      <c r="D72" s="1" t="s">
        <v>913</v>
      </c>
      <c r="E72" s="1" t="s">
        <v>1315</v>
      </c>
      <c r="F72" s="1" t="s">
        <v>911</v>
      </c>
      <c r="G72" s="1" t="s">
        <v>1091</v>
      </c>
      <c r="H72" s="1" t="s">
        <v>1180</v>
      </c>
      <c r="I72" s="1" t="s">
        <v>770</v>
      </c>
      <c r="J72" s="1" t="s">
        <v>1244</v>
      </c>
      <c r="K72" s="5">
        <v>48988</v>
      </c>
      <c r="L72" s="6">
        <v>45182</v>
      </c>
      <c r="M72" s="6">
        <v>45291</v>
      </c>
      <c r="N72" s="1" t="s">
        <v>1369</v>
      </c>
    </row>
    <row r="73" spans="1:14" x14ac:dyDescent="0.25">
      <c r="A73" s="4">
        <v>69</v>
      </c>
      <c r="B73" s="2" t="str">
        <f>HYPERLINK("https://my.zakupivli.pro/remote/dispatcher/state_purchase_view/40707262", "UA-2023-02-08-009928-a")</f>
        <v>UA-2023-02-08-009928-a</v>
      </c>
      <c r="C73" s="2" t="str">
        <f>HYPERLINK("https://my.zakupivli.pro/remote/dispatcher/state_contracting_view/15561120", "UA-2023-02-08-009928-a-a1")</f>
        <v>UA-2023-02-08-009928-a-a1</v>
      </c>
      <c r="D73" s="1" t="s">
        <v>970</v>
      </c>
      <c r="E73" s="1" t="s">
        <v>1193</v>
      </c>
      <c r="F73" s="1" t="s">
        <v>971</v>
      </c>
      <c r="G73" s="1" t="s">
        <v>1091</v>
      </c>
      <c r="H73" s="1" t="s">
        <v>1262</v>
      </c>
      <c r="I73" s="1" t="s">
        <v>650</v>
      </c>
      <c r="J73" s="1" t="s">
        <v>952</v>
      </c>
      <c r="K73" s="5">
        <v>15000</v>
      </c>
      <c r="L73" s="6">
        <v>44964</v>
      </c>
      <c r="M73" s="6">
        <v>45291</v>
      </c>
      <c r="N73" s="1" t="s">
        <v>1369</v>
      </c>
    </row>
    <row r="74" spans="1:14" x14ac:dyDescent="0.25">
      <c r="A74" s="4">
        <v>70</v>
      </c>
      <c r="B74" s="2" t="str">
        <f>HYPERLINK("https://my.zakupivli.pro/remote/dispatcher/state_purchase_view/47012803", "UA-2023-11-27-008138-a")</f>
        <v>UA-2023-11-27-008138-a</v>
      </c>
      <c r="C74" s="2" t="str">
        <f>HYPERLINK("https://my.zakupivli.pro/remote/dispatcher/state_contracting_view/18328183", "UA-2023-11-27-008138-a-b1")</f>
        <v>UA-2023-11-27-008138-a-b1</v>
      </c>
      <c r="D74" s="1" t="s">
        <v>844</v>
      </c>
      <c r="E74" s="1" t="s">
        <v>1436</v>
      </c>
      <c r="F74" s="1" t="s">
        <v>840</v>
      </c>
      <c r="G74" s="1" t="s">
        <v>1091</v>
      </c>
      <c r="H74" s="1" t="s">
        <v>1030</v>
      </c>
      <c r="I74" s="1" t="s">
        <v>207</v>
      </c>
      <c r="J74" s="1" t="s">
        <v>39</v>
      </c>
      <c r="K74" s="5">
        <v>8654.36</v>
      </c>
      <c r="L74" s="6">
        <v>45254</v>
      </c>
      <c r="M74" s="6">
        <v>45291</v>
      </c>
      <c r="N74" s="1" t="s">
        <v>1369</v>
      </c>
    </row>
    <row r="75" spans="1:14" x14ac:dyDescent="0.25">
      <c r="A75" s="4">
        <v>71</v>
      </c>
      <c r="B75" s="2" t="str">
        <f>HYPERLINK("https://my.zakupivli.pro/remote/dispatcher/state_purchase_view/40494844", "UA-2023-01-31-014884-a")</f>
        <v>UA-2023-01-31-014884-a</v>
      </c>
      <c r="C75" s="2" t="str">
        <f>HYPERLINK("https://my.zakupivli.pro/remote/dispatcher/state_contracting_view/15458813", "UA-2023-01-31-014884-a-c1")</f>
        <v>UA-2023-01-31-014884-a-c1</v>
      </c>
      <c r="D75" s="1" t="s">
        <v>179</v>
      </c>
      <c r="E75" s="1" t="s">
        <v>1218</v>
      </c>
      <c r="F75" s="1" t="s">
        <v>181</v>
      </c>
      <c r="G75" s="1" t="s">
        <v>1091</v>
      </c>
      <c r="H75" s="1" t="s">
        <v>1171</v>
      </c>
      <c r="I75" s="1" t="s">
        <v>154</v>
      </c>
      <c r="J75" s="1" t="s">
        <v>892</v>
      </c>
      <c r="K75" s="5">
        <v>96000</v>
      </c>
      <c r="L75" s="6">
        <v>44957</v>
      </c>
      <c r="M75" s="6">
        <v>45291</v>
      </c>
      <c r="N75" s="1" t="s">
        <v>1369</v>
      </c>
    </row>
    <row r="76" spans="1:14" x14ac:dyDescent="0.25">
      <c r="A76" s="4">
        <v>72</v>
      </c>
      <c r="B76" s="2" t="str">
        <f>HYPERLINK("https://my.zakupivli.pro/remote/dispatcher/state_purchase_view/40969310", "UA-2023-02-20-010086-a")</f>
        <v>UA-2023-02-20-010086-a</v>
      </c>
      <c r="C76" s="2" t="str">
        <f>HYPERLINK("https://my.zakupivli.pro/remote/dispatcher/state_contracting_view/15682047", "UA-2023-02-20-010086-a-b1")</f>
        <v>UA-2023-02-20-010086-a-b1</v>
      </c>
      <c r="D76" s="1" t="s">
        <v>308</v>
      </c>
      <c r="E76" s="1" t="s">
        <v>1143</v>
      </c>
      <c r="F76" s="1" t="s">
        <v>305</v>
      </c>
      <c r="G76" s="1" t="s">
        <v>1091</v>
      </c>
      <c r="H76" s="1" t="s">
        <v>1277</v>
      </c>
      <c r="I76" s="1" t="s">
        <v>599</v>
      </c>
      <c r="J76" s="1" t="s">
        <v>1015</v>
      </c>
      <c r="K76" s="5">
        <v>6035</v>
      </c>
      <c r="L76" s="6">
        <v>44974</v>
      </c>
      <c r="M76" s="6">
        <v>45291</v>
      </c>
      <c r="N76" s="1" t="s">
        <v>1369</v>
      </c>
    </row>
    <row r="77" spans="1:14" x14ac:dyDescent="0.25">
      <c r="A77" s="4">
        <v>73</v>
      </c>
      <c r="B77" s="2" t="str">
        <f>HYPERLINK("https://my.zakupivli.pro/remote/dispatcher/state_purchase_view/41945376", "UA-2023-04-12-001227-a")</f>
        <v>UA-2023-04-12-001227-a</v>
      </c>
      <c r="C77" s="2" t="str">
        <f>HYPERLINK("https://my.zakupivli.pro/remote/dispatcher/state_contracting_view/16110084", "UA-2023-04-12-001227-a-b1")</f>
        <v>UA-2023-04-12-001227-a-b1</v>
      </c>
      <c r="D77" s="1" t="s">
        <v>564</v>
      </c>
      <c r="E77" s="1" t="s">
        <v>1466</v>
      </c>
      <c r="F77" s="1" t="s">
        <v>562</v>
      </c>
      <c r="G77" s="1" t="s">
        <v>1091</v>
      </c>
      <c r="H77" s="1" t="s">
        <v>1058</v>
      </c>
      <c r="I77" s="1" t="s">
        <v>210</v>
      </c>
      <c r="J77" s="1" t="s">
        <v>72</v>
      </c>
      <c r="K77" s="5">
        <v>18451</v>
      </c>
      <c r="L77" s="6">
        <v>45026</v>
      </c>
      <c r="M77" s="6">
        <v>45291</v>
      </c>
      <c r="N77" s="1" t="s">
        <v>1369</v>
      </c>
    </row>
    <row r="78" spans="1:14" x14ac:dyDescent="0.25">
      <c r="A78" s="4">
        <v>74</v>
      </c>
      <c r="B78" s="2" t="str">
        <f>HYPERLINK("https://my.zakupivli.pro/remote/dispatcher/state_purchase_view/40222037", "UA-2023-01-20-012661-a")</f>
        <v>UA-2023-01-20-012661-a</v>
      </c>
      <c r="C78" s="2" t="str">
        <f>HYPERLINK("https://my.zakupivli.pro/remote/dispatcher/state_contracting_view/15332776", "UA-2023-01-20-012661-a-b1")</f>
        <v>UA-2023-01-20-012661-a-b1</v>
      </c>
      <c r="D78" s="1" t="s">
        <v>1006</v>
      </c>
      <c r="E78" s="1" t="s">
        <v>1190</v>
      </c>
      <c r="F78" s="1" t="s">
        <v>1003</v>
      </c>
      <c r="G78" s="1" t="s">
        <v>1091</v>
      </c>
      <c r="H78" s="1" t="s">
        <v>1101</v>
      </c>
      <c r="I78" s="1" t="s">
        <v>424</v>
      </c>
      <c r="J78" s="1" t="s">
        <v>96</v>
      </c>
      <c r="K78" s="5">
        <v>106500</v>
      </c>
      <c r="L78" s="6">
        <v>44945</v>
      </c>
      <c r="M78" s="6">
        <v>45291</v>
      </c>
      <c r="N78" s="1" t="s">
        <v>1369</v>
      </c>
    </row>
    <row r="79" spans="1:14" x14ac:dyDescent="0.25">
      <c r="A79" s="4">
        <v>75</v>
      </c>
      <c r="B79" s="2" t="str">
        <f>HYPERLINK("https://my.zakupivli.pro/remote/dispatcher/state_purchase_view/40890834", "UA-2023-02-16-002022-a")</f>
        <v>UA-2023-02-16-002022-a</v>
      </c>
      <c r="C79" s="2" t="str">
        <f>HYPERLINK("https://my.zakupivli.pro/remote/dispatcher/state_contracting_view/15646050", "UA-2023-02-16-002022-a-a1")</f>
        <v>UA-2023-02-16-002022-a-a1</v>
      </c>
      <c r="D79" s="1" t="s">
        <v>690</v>
      </c>
      <c r="E79" s="1" t="s">
        <v>1093</v>
      </c>
      <c r="F79" s="1" t="s">
        <v>692</v>
      </c>
      <c r="G79" s="1" t="s">
        <v>1091</v>
      </c>
      <c r="H79" s="1" t="s">
        <v>1180</v>
      </c>
      <c r="I79" s="1" t="s">
        <v>770</v>
      </c>
      <c r="J79" s="1" t="s">
        <v>996</v>
      </c>
      <c r="K79" s="5">
        <v>76824</v>
      </c>
      <c r="L79" s="6">
        <v>44972</v>
      </c>
      <c r="M79" s="6">
        <v>45291</v>
      </c>
      <c r="N79" s="1" t="s">
        <v>1369</v>
      </c>
    </row>
    <row r="80" spans="1:14" x14ac:dyDescent="0.25">
      <c r="A80" s="4">
        <v>76</v>
      </c>
      <c r="B80" s="2" t="str">
        <f>HYPERLINK("https://my.zakupivli.pro/remote/dispatcher/state_purchase_view/41191733", "UA-2023-03-02-009398-a")</f>
        <v>UA-2023-03-02-009398-a</v>
      </c>
      <c r="C80" s="2" t="str">
        <f>HYPERLINK("https://my.zakupivli.pro/remote/dispatcher/state_contracting_view/15786799", "UA-2023-03-02-009398-a-b1")</f>
        <v>UA-2023-03-02-009398-a-b1</v>
      </c>
      <c r="D80" s="1" t="s">
        <v>295</v>
      </c>
      <c r="E80" s="1" t="s">
        <v>1183</v>
      </c>
      <c r="F80" s="1" t="s">
        <v>292</v>
      </c>
      <c r="G80" s="1" t="s">
        <v>1091</v>
      </c>
      <c r="H80" s="1" t="s">
        <v>1149</v>
      </c>
      <c r="I80" s="1" t="s">
        <v>230</v>
      </c>
      <c r="J80" s="1" t="s">
        <v>35</v>
      </c>
      <c r="K80" s="5">
        <v>5400</v>
      </c>
      <c r="L80" s="6">
        <v>44987</v>
      </c>
      <c r="M80" s="6">
        <v>45291</v>
      </c>
      <c r="N80" s="1" t="s">
        <v>1369</v>
      </c>
    </row>
    <row r="81" spans="1:14" x14ac:dyDescent="0.25">
      <c r="A81" s="4">
        <v>77</v>
      </c>
      <c r="B81" s="2" t="str">
        <f>HYPERLINK("https://my.zakupivli.pro/remote/dispatcher/state_purchase_view/41220347", "UA-2023-03-03-008870-a")</f>
        <v>UA-2023-03-03-008870-a</v>
      </c>
      <c r="C81" s="2" t="str">
        <f>HYPERLINK("https://my.zakupivli.pro/remote/dispatcher/state_contracting_view/15799356", "UA-2023-03-03-008870-a-c1")</f>
        <v>UA-2023-03-03-008870-a-c1</v>
      </c>
      <c r="D81" s="1" t="s">
        <v>949</v>
      </c>
      <c r="E81" s="1" t="s">
        <v>1447</v>
      </c>
      <c r="F81" s="1" t="s">
        <v>948</v>
      </c>
      <c r="G81" s="1" t="s">
        <v>1091</v>
      </c>
      <c r="H81" s="1" t="s">
        <v>1069</v>
      </c>
      <c r="I81" s="1" t="s">
        <v>520</v>
      </c>
      <c r="J81" s="1" t="s">
        <v>516</v>
      </c>
      <c r="K81" s="5">
        <v>5663.04</v>
      </c>
      <c r="L81" s="6">
        <v>44988</v>
      </c>
      <c r="M81" s="6">
        <v>45291</v>
      </c>
      <c r="N81" s="1" t="s">
        <v>1369</v>
      </c>
    </row>
    <row r="82" spans="1:14" x14ac:dyDescent="0.25">
      <c r="A82" s="4">
        <v>78</v>
      </c>
      <c r="B82" s="2" t="str">
        <f>HYPERLINK("https://my.zakupivli.pro/remote/dispatcher/state_purchase_view/41310912", "UA-2023-03-09-003811-a")</f>
        <v>UA-2023-03-09-003811-a</v>
      </c>
      <c r="C82" s="2" t="str">
        <f>HYPERLINK("https://my.zakupivli.pro/remote/dispatcher/state_contracting_view/15838846", "UA-2023-03-09-003811-a-c1")</f>
        <v>UA-2023-03-09-003811-a-c1</v>
      </c>
      <c r="D82" s="1" t="s">
        <v>947</v>
      </c>
      <c r="E82" s="1" t="s">
        <v>1160</v>
      </c>
      <c r="F82" s="1" t="s">
        <v>946</v>
      </c>
      <c r="G82" s="1" t="s">
        <v>1091</v>
      </c>
      <c r="H82" s="1" t="s">
        <v>1306</v>
      </c>
      <c r="I82" s="1" t="s">
        <v>513</v>
      </c>
      <c r="J82" s="1" t="s">
        <v>12</v>
      </c>
      <c r="K82" s="5">
        <v>780</v>
      </c>
      <c r="L82" s="6">
        <v>44993</v>
      </c>
      <c r="M82" s="6">
        <v>45291</v>
      </c>
      <c r="N82" s="1" t="s">
        <v>1369</v>
      </c>
    </row>
    <row r="83" spans="1:14" x14ac:dyDescent="0.25">
      <c r="A83" s="4">
        <v>79</v>
      </c>
      <c r="B83" s="2" t="str">
        <f>HYPERLINK("https://my.zakupivli.pro/remote/dispatcher/state_purchase_view/40927826", "UA-2023-02-17-004668-a")</f>
        <v>UA-2023-02-17-004668-a</v>
      </c>
      <c r="C83" s="2" t="str">
        <f>HYPERLINK("https://my.zakupivli.pro/remote/dispatcher/state_contracting_view/15662828", "UA-2023-02-17-004668-a-b1")</f>
        <v>UA-2023-02-17-004668-a-b1</v>
      </c>
      <c r="D83" s="1" t="s">
        <v>850</v>
      </c>
      <c r="E83" s="1" t="s">
        <v>1462</v>
      </c>
      <c r="F83" s="1" t="s">
        <v>848</v>
      </c>
      <c r="G83" s="1" t="s">
        <v>1091</v>
      </c>
      <c r="H83" s="1" t="s">
        <v>1338</v>
      </c>
      <c r="I83" s="1" t="s">
        <v>455</v>
      </c>
      <c r="J83" s="1" t="s">
        <v>999</v>
      </c>
      <c r="K83" s="5">
        <v>1600</v>
      </c>
      <c r="L83" s="6">
        <v>44972</v>
      </c>
      <c r="M83" s="6">
        <v>45291</v>
      </c>
      <c r="N83" s="1" t="s">
        <v>1369</v>
      </c>
    </row>
    <row r="84" spans="1:14" x14ac:dyDescent="0.25">
      <c r="A84" s="4">
        <v>80</v>
      </c>
      <c r="B84" s="2" t="str">
        <f>HYPERLINK("https://my.zakupivli.pro/remote/dispatcher/state_purchase_view/47937077", "UA-2023-12-22-002281-a")</f>
        <v>UA-2023-12-22-002281-a</v>
      </c>
      <c r="C84" s="2" t="str">
        <f>HYPERLINK("https://my.zakupivli.pro/remote/dispatcher/state_contracting_view/18720948", "UA-2023-12-22-002281-a-a1")</f>
        <v>UA-2023-12-22-002281-a-a1</v>
      </c>
      <c r="D84" s="1" t="s">
        <v>614</v>
      </c>
      <c r="E84" s="1" t="s">
        <v>1483</v>
      </c>
      <c r="F84" s="1" t="s">
        <v>615</v>
      </c>
      <c r="G84" s="1" t="s">
        <v>1091</v>
      </c>
      <c r="H84" s="1" t="s">
        <v>1177</v>
      </c>
      <c r="I84" s="1" t="s">
        <v>498</v>
      </c>
      <c r="J84" s="1" t="s">
        <v>880</v>
      </c>
      <c r="K84" s="5">
        <v>39600</v>
      </c>
      <c r="L84" s="6">
        <v>45281</v>
      </c>
      <c r="M84" s="6">
        <v>45291</v>
      </c>
      <c r="N84" s="1" t="s">
        <v>1369</v>
      </c>
    </row>
    <row r="85" spans="1:14" x14ac:dyDescent="0.25">
      <c r="A85" s="4">
        <v>81</v>
      </c>
      <c r="B85" s="2" t="str">
        <f>HYPERLINK("https://my.zakupivli.pro/remote/dispatcher/state_purchase_view/45088345", "UA-2023-09-11-011253-a")</f>
        <v>UA-2023-09-11-011253-a</v>
      </c>
      <c r="C85" s="2" t="str">
        <f>HYPERLINK("https://my.zakupivli.pro/remote/dispatcher/state_contracting_view/17794763", "UA-2023-09-11-011253-a-a1")</f>
        <v>UA-2023-09-11-011253-a-a1</v>
      </c>
      <c r="D85" s="1" t="s">
        <v>743</v>
      </c>
      <c r="E85" s="1" t="s">
        <v>1214</v>
      </c>
      <c r="F85" s="1" t="s">
        <v>742</v>
      </c>
      <c r="G85" s="1" t="s">
        <v>1056</v>
      </c>
      <c r="H85" s="1" t="s">
        <v>1114</v>
      </c>
      <c r="I85" s="1" t="s">
        <v>439</v>
      </c>
      <c r="J85" s="1" t="s">
        <v>792</v>
      </c>
      <c r="K85" s="5">
        <v>748206</v>
      </c>
      <c r="L85" s="6">
        <v>45209</v>
      </c>
      <c r="M85" s="6">
        <v>45291</v>
      </c>
      <c r="N85" s="1" t="s">
        <v>1399</v>
      </c>
    </row>
    <row r="86" spans="1:14" x14ac:dyDescent="0.25">
      <c r="A86" s="4">
        <v>82</v>
      </c>
      <c r="B86" s="2" t="str">
        <f>HYPERLINK("https://my.zakupivli.pro/remote/dispatcher/state_purchase_view/40850387", "UA-2023-02-14-012206-a")</f>
        <v>UA-2023-02-14-012206-a</v>
      </c>
      <c r="C86" s="2" t="str">
        <f>HYPERLINK("https://my.zakupivli.pro/remote/dispatcher/state_contracting_view/16955946", "UA-2023-02-14-012206-a-b1")</f>
        <v>UA-2023-02-14-012206-a-b1</v>
      </c>
      <c r="D86" s="1" t="s">
        <v>477</v>
      </c>
      <c r="E86" s="1" t="s">
        <v>1219</v>
      </c>
      <c r="F86" s="1" t="s">
        <v>476</v>
      </c>
      <c r="G86" s="1" t="s">
        <v>1056</v>
      </c>
      <c r="H86" s="1" t="s">
        <v>1300</v>
      </c>
      <c r="I86" s="1" t="s">
        <v>688</v>
      </c>
      <c r="J86" s="1" t="s">
        <v>290</v>
      </c>
      <c r="K86" s="5">
        <v>89035752</v>
      </c>
      <c r="L86" s="6">
        <v>45114</v>
      </c>
      <c r="M86" s="6">
        <v>45291</v>
      </c>
      <c r="N86" s="1" t="s">
        <v>1399</v>
      </c>
    </row>
    <row r="87" spans="1:14" x14ac:dyDescent="0.25">
      <c r="A87" s="4">
        <v>83</v>
      </c>
      <c r="B87" s="2" t="str">
        <f>HYPERLINK("https://my.zakupivli.pro/remote/dispatcher/state_purchase_view/42884866", "UA-2023-05-29-000900-a")</f>
        <v>UA-2023-05-29-000900-a</v>
      </c>
      <c r="C87" s="2" t="str">
        <f>HYPERLINK("https://my.zakupivli.pro/remote/dispatcher/state_contracting_view/16885167", "UA-2023-05-29-000900-a-a1")</f>
        <v>UA-2023-05-29-000900-a-a1</v>
      </c>
      <c r="D87" s="1" t="s">
        <v>752</v>
      </c>
      <c r="E87" s="1" t="s">
        <v>1215</v>
      </c>
      <c r="F87" s="1" t="s">
        <v>751</v>
      </c>
      <c r="G87" s="1" t="s">
        <v>1056</v>
      </c>
      <c r="H87" s="1" t="s">
        <v>1296</v>
      </c>
      <c r="I87" s="1" t="s">
        <v>546</v>
      </c>
      <c r="J87" s="1" t="s">
        <v>265</v>
      </c>
      <c r="K87" s="5">
        <v>807000</v>
      </c>
      <c r="L87" s="6">
        <v>45104</v>
      </c>
      <c r="M87" s="6">
        <v>45291</v>
      </c>
      <c r="N87" s="1" t="s">
        <v>1399</v>
      </c>
    </row>
    <row r="88" spans="1:14" x14ac:dyDescent="0.25">
      <c r="A88" s="4">
        <v>84</v>
      </c>
      <c r="B88" s="2" t="str">
        <f>HYPERLINK("https://my.zakupivli.pro/remote/dispatcher/state_purchase_view/44517287", "UA-2023-08-15-000607-a")</f>
        <v>UA-2023-08-15-000607-a</v>
      </c>
      <c r="C88" s="2" t="str">
        <f>HYPERLINK("https://my.zakupivli.pro/remote/dispatcher/state_contracting_view/17265797", "UA-2023-08-15-000607-a-a1")</f>
        <v>UA-2023-08-15-000607-a-a1</v>
      </c>
      <c r="D88" s="1" t="s">
        <v>625</v>
      </c>
      <c r="E88" s="1" t="s">
        <v>627</v>
      </c>
      <c r="F88" s="1" t="s">
        <v>626</v>
      </c>
      <c r="G88" s="1" t="s">
        <v>1091</v>
      </c>
      <c r="H88" s="1" t="s">
        <v>1159</v>
      </c>
      <c r="I88" s="1" t="s">
        <v>251</v>
      </c>
      <c r="J88" s="1" t="s">
        <v>518</v>
      </c>
      <c r="K88" s="5">
        <v>33000</v>
      </c>
      <c r="L88" s="6">
        <v>45152</v>
      </c>
      <c r="M88" s="6">
        <v>45291</v>
      </c>
      <c r="N88" s="1" t="s">
        <v>1369</v>
      </c>
    </row>
    <row r="89" spans="1:14" x14ac:dyDescent="0.25">
      <c r="A89" s="4">
        <v>85</v>
      </c>
      <c r="B89" s="2" t="str">
        <f>HYPERLINK("https://my.zakupivli.pro/remote/dispatcher/state_purchase_view/43253300", "UA-2023-06-13-009549-a")</f>
        <v>UA-2023-06-13-009549-a</v>
      </c>
      <c r="C89" s="2" t="str">
        <f>HYPERLINK("https://my.zakupivli.pro/remote/dispatcher/state_contracting_view/16702263", "UA-2023-06-13-009549-a-c1")</f>
        <v>UA-2023-06-13-009549-a-c1</v>
      </c>
      <c r="D89" s="1" t="s">
        <v>837</v>
      </c>
      <c r="E89" s="1" t="s">
        <v>1386</v>
      </c>
      <c r="F89" s="1" t="s">
        <v>836</v>
      </c>
      <c r="G89" s="1" t="s">
        <v>1091</v>
      </c>
      <c r="H89" s="1" t="s">
        <v>1339</v>
      </c>
      <c r="I89" s="1" t="s">
        <v>249</v>
      </c>
      <c r="J89" s="1" t="s">
        <v>231</v>
      </c>
      <c r="K89" s="5">
        <v>99900</v>
      </c>
      <c r="L89" s="6">
        <v>45085</v>
      </c>
      <c r="M89" s="6">
        <v>45291</v>
      </c>
      <c r="N89" s="1" t="s">
        <v>1369</v>
      </c>
    </row>
    <row r="90" spans="1:14" x14ac:dyDescent="0.25">
      <c r="A90" s="4">
        <v>86</v>
      </c>
      <c r="B90" s="2" t="str">
        <f>HYPERLINK("https://my.zakupivli.pro/remote/dispatcher/state_purchase_view/45927243", "UA-2023-10-17-002604-a")</f>
        <v>UA-2023-10-17-002604-a</v>
      </c>
      <c r="C90" s="2" t="str">
        <f>HYPERLINK("https://my.zakupivli.pro/remote/dispatcher/state_contracting_view/17866345", "UA-2023-10-17-002604-a-a1")</f>
        <v>UA-2023-10-17-002604-a-a1</v>
      </c>
      <c r="D90" s="1" t="s">
        <v>29</v>
      </c>
      <c r="E90" s="1" t="s">
        <v>29</v>
      </c>
      <c r="F90" s="1" t="s">
        <v>28</v>
      </c>
      <c r="G90" s="1" t="s">
        <v>1091</v>
      </c>
      <c r="H90" s="1" t="s">
        <v>1071</v>
      </c>
      <c r="I90" s="1" t="s">
        <v>133</v>
      </c>
      <c r="J90" s="1" t="s">
        <v>794</v>
      </c>
      <c r="K90" s="5">
        <v>1162124.05</v>
      </c>
      <c r="L90" s="6">
        <v>45212</v>
      </c>
      <c r="M90" s="6">
        <v>45291</v>
      </c>
      <c r="N90" s="1" t="s">
        <v>1369</v>
      </c>
    </row>
    <row r="91" spans="1:14" x14ac:dyDescent="0.25">
      <c r="A91" s="4">
        <v>87</v>
      </c>
      <c r="B91" s="2" t="str">
        <f>HYPERLINK("https://my.zakupivli.pro/remote/dispatcher/state_purchase_view/46252056", "UA-2023-10-30-003907-a")</f>
        <v>UA-2023-10-30-003907-a</v>
      </c>
      <c r="C91" s="2" t="str">
        <f>HYPERLINK("https://my.zakupivli.pro/remote/dispatcher/state_contracting_view/18005656", "UA-2023-10-30-003907-a-a1")</f>
        <v>UA-2023-10-30-003907-a-a1</v>
      </c>
      <c r="D91" s="1" t="s">
        <v>841</v>
      </c>
      <c r="E91" s="1" t="s">
        <v>841</v>
      </c>
      <c r="F91" s="1" t="s">
        <v>840</v>
      </c>
      <c r="G91" s="1" t="s">
        <v>1091</v>
      </c>
      <c r="H91" s="1" t="s">
        <v>1030</v>
      </c>
      <c r="I91" s="1" t="s">
        <v>207</v>
      </c>
      <c r="J91" s="1" t="s">
        <v>1324</v>
      </c>
      <c r="K91" s="5">
        <v>485.94</v>
      </c>
      <c r="L91" s="6">
        <v>45225</v>
      </c>
      <c r="M91" s="6">
        <v>45291</v>
      </c>
      <c r="N91" s="1" t="s">
        <v>1369</v>
      </c>
    </row>
    <row r="92" spans="1:14" x14ac:dyDescent="0.25">
      <c r="A92" s="4">
        <v>88</v>
      </c>
      <c r="B92" s="2" t="str">
        <f>HYPERLINK("https://my.zakupivli.pro/remote/dispatcher/state_purchase_view/47953598", "UA-2023-12-22-009701-a")</f>
        <v>UA-2023-12-22-009701-a</v>
      </c>
      <c r="C92" s="2" t="str">
        <f>HYPERLINK("https://my.zakupivli.pro/remote/dispatcher/state_contracting_view/18728377", "UA-2023-12-22-009701-a-c1")</f>
        <v>UA-2023-12-22-009701-a-c1</v>
      </c>
      <c r="D92" s="1" t="s">
        <v>182</v>
      </c>
      <c r="E92" s="1" t="s">
        <v>1486</v>
      </c>
      <c r="F92" s="1" t="s">
        <v>183</v>
      </c>
      <c r="G92" s="1" t="s">
        <v>1091</v>
      </c>
      <c r="H92" s="1" t="s">
        <v>1222</v>
      </c>
      <c r="I92" s="1" t="s">
        <v>278</v>
      </c>
      <c r="J92" s="1" t="s">
        <v>885</v>
      </c>
      <c r="K92" s="5">
        <v>27020</v>
      </c>
      <c r="L92" s="6">
        <v>45282</v>
      </c>
      <c r="M92" s="6">
        <v>45291</v>
      </c>
      <c r="N92" s="1" t="s">
        <v>1369</v>
      </c>
    </row>
    <row r="93" spans="1:14" x14ac:dyDescent="0.25">
      <c r="A93" s="4">
        <v>89</v>
      </c>
      <c r="B93" s="2" t="str">
        <f>HYPERLINK("https://my.zakupivli.pro/remote/dispatcher/state_purchase_view/47937632", "UA-2023-12-22-002564-a")</f>
        <v>UA-2023-12-22-002564-a</v>
      </c>
      <c r="C93" s="2" t="str">
        <f>HYPERLINK("https://my.zakupivli.pro/remote/dispatcher/state_contracting_view/18721137", "UA-2023-12-22-002564-a-b1")</f>
        <v>UA-2023-12-22-002564-a-b1</v>
      </c>
      <c r="D93" s="1" t="s">
        <v>369</v>
      </c>
      <c r="E93" s="1" t="s">
        <v>1151</v>
      </c>
      <c r="F93" s="1" t="s">
        <v>371</v>
      </c>
      <c r="G93" s="1" t="s">
        <v>1091</v>
      </c>
      <c r="H93" s="1" t="s">
        <v>1330</v>
      </c>
      <c r="I93" s="1" t="s">
        <v>227</v>
      </c>
      <c r="J93" s="1" t="s">
        <v>883</v>
      </c>
      <c r="K93" s="5">
        <v>32360</v>
      </c>
      <c r="L93" s="6">
        <v>45282</v>
      </c>
      <c r="M93" s="6">
        <v>45291</v>
      </c>
      <c r="N93" s="1" t="s">
        <v>1369</v>
      </c>
    </row>
    <row r="94" spans="1:14" x14ac:dyDescent="0.25">
      <c r="A94" s="4">
        <v>90</v>
      </c>
      <c r="B94" s="2" t="str">
        <f>HYPERLINK("https://my.zakupivli.pro/remote/dispatcher/state_purchase_view/44990748", "UA-2023-09-06-012214-a")</f>
        <v>UA-2023-09-06-012214-a</v>
      </c>
      <c r="C94" s="2" t="str">
        <f>HYPERLINK("https://my.zakupivli.pro/remote/dispatcher/state_contracting_view/17468942", "UA-2023-09-06-012214-a-c1")</f>
        <v>UA-2023-09-06-012214-a-c1</v>
      </c>
      <c r="D94" s="1" t="s">
        <v>192</v>
      </c>
      <c r="E94" s="1" t="s">
        <v>1398</v>
      </c>
      <c r="F94" s="1" t="s">
        <v>191</v>
      </c>
      <c r="G94" s="1" t="s">
        <v>1091</v>
      </c>
      <c r="H94" s="1" t="s">
        <v>1149</v>
      </c>
      <c r="I94" s="1" t="s">
        <v>230</v>
      </c>
      <c r="J94" s="1" t="s">
        <v>555</v>
      </c>
      <c r="K94" s="5">
        <v>4150</v>
      </c>
      <c r="L94" s="6">
        <v>45173</v>
      </c>
      <c r="M94" s="6">
        <v>45291</v>
      </c>
      <c r="N94" s="1" t="s">
        <v>1369</v>
      </c>
    </row>
    <row r="95" spans="1:14" x14ac:dyDescent="0.25">
      <c r="A95" s="4">
        <v>91</v>
      </c>
      <c r="B95" s="2" t="str">
        <f>HYPERLINK("https://my.zakupivli.pro/remote/dispatcher/state_purchase_view/45236755", "UA-2023-09-18-003685-a")</f>
        <v>UA-2023-09-18-003685-a</v>
      </c>
      <c r="C95" s="2" t="str">
        <f>HYPERLINK("https://my.zakupivli.pro/remote/dispatcher/state_contracting_view/17573483", "UA-2023-09-18-003685-a-c1")</f>
        <v>UA-2023-09-18-003685-a-c1</v>
      </c>
      <c r="D95" s="1" t="s">
        <v>378</v>
      </c>
      <c r="E95" s="1" t="s">
        <v>378</v>
      </c>
      <c r="F95" s="1" t="s">
        <v>377</v>
      </c>
      <c r="G95" s="1" t="s">
        <v>1091</v>
      </c>
      <c r="H95" s="1" t="s">
        <v>1289</v>
      </c>
      <c r="I95" s="1" t="s">
        <v>235</v>
      </c>
      <c r="J95" s="1" t="s">
        <v>653</v>
      </c>
      <c r="K95" s="5">
        <v>25896.6</v>
      </c>
      <c r="L95" s="6">
        <v>45184</v>
      </c>
      <c r="M95" s="6">
        <v>45291</v>
      </c>
      <c r="N95" s="1" t="s">
        <v>1369</v>
      </c>
    </row>
    <row r="96" spans="1:14" x14ac:dyDescent="0.25">
      <c r="A96" s="4">
        <v>92</v>
      </c>
      <c r="B96" s="2" t="str">
        <f>HYPERLINK("https://my.zakupivli.pro/remote/dispatcher/state_purchase_view/45304500", "UA-2023-09-20-003858-a")</f>
        <v>UA-2023-09-20-003858-a</v>
      </c>
      <c r="C96" s="2" t="str">
        <f>HYPERLINK("https://my.zakupivli.pro/remote/dispatcher/state_contracting_view/17601667", "UA-2023-09-20-003858-a-a1")</f>
        <v>UA-2023-09-20-003858-a-a1</v>
      </c>
      <c r="D96" s="1" t="s">
        <v>109</v>
      </c>
      <c r="E96" s="1" t="s">
        <v>111</v>
      </c>
      <c r="F96" s="1" t="s">
        <v>110</v>
      </c>
      <c r="G96" s="1" t="s">
        <v>1091</v>
      </c>
      <c r="H96" s="1" t="s">
        <v>1177</v>
      </c>
      <c r="I96" s="1" t="s">
        <v>498</v>
      </c>
      <c r="J96" s="1" t="s">
        <v>674</v>
      </c>
      <c r="K96" s="5">
        <v>18388.8</v>
      </c>
      <c r="L96" s="6">
        <v>45188</v>
      </c>
      <c r="M96" s="6">
        <v>45291</v>
      </c>
      <c r="N96" s="1" t="s">
        <v>1369</v>
      </c>
    </row>
    <row r="97" spans="1:14" x14ac:dyDescent="0.25">
      <c r="A97" s="4">
        <v>93</v>
      </c>
      <c r="B97" s="2" t="str">
        <f>HYPERLINK("https://my.zakupivli.pro/remote/dispatcher/state_purchase_view/45316539", "UA-2023-09-20-009247-a")</f>
        <v>UA-2023-09-20-009247-a</v>
      </c>
      <c r="C97" s="2" t="str">
        <f>HYPERLINK("https://my.zakupivli.pro/remote/dispatcher/state_contracting_view/17612604", "UA-2023-09-20-009247-a-c1")</f>
        <v>UA-2023-09-20-009247-a-c1</v>
      </c>
      <c r="D97" s="1" t="s">
        <v>338</v>
      </c>
      <c r="E97" s="1" t="s">
        <v>1465</v>
      </c>
      <c r="F97" s="1" t="s">
        <v>337</v>
      </c>
      <c r="G97" s="1" t="s">
        <v>1091</v>
      </c>
      <c r="H97" s="1" t="s">
        <v>1280</v>
      </c>
      <c r="I97" s="1" t="s">
        <v>233</v>
      </c>
      <c r="J97" s="1" t="s">
        <v>683</v>
      </c>
      <c r="K97" s="5">
        <v>23094.720000000001</v>
      </c>
      <c r="L97" s="6">
        <v>45188</v>
      </c>
      <c r="M97" s="6">
        <v>45291</v>
      </c>
      <c r="N97" s="1" t="s">
        <v>1369</v>
      </c>
    </row>
    <row r="98" spans="1:14" x14ac:dyDescent="0.25">
      <c r="A98" s="4">
        <v>94</v>
      </c>
      <c r="B98" s="2" t="str">
        <f>HYPERLINK("https://my.zakupivli.pro/remote/dispatcher/state_purchase_view/42876117", "UA-2023-05-26-009790-a")</f>
        <v>UA-2023-05-26-009790-a</v>
      </c>
      <c r="C98" s="2" t="str">
        <f>HYPERLINK("https://my.zakupivli.pro/remote/dispatcher/state_contracting_view/16532650", "UA-2023-05-26-009790-a-b1")</f>
        <v>UA-2023-05-26-009790-a-b1</v>
      </c>
      <c r="D98" s="1" t="s">
        <v>81</v>
      </c>
      <c r="E98" s="1" t="s">
        <v>1415</v>
      </c>
      <c r="F98" s="1" t="s">
        <v>80</v>
      </c>
      <c r="G98" s="1" t="s">
        <v>1091</v>
      </c>
      <c r="H98" s="1" t="s">
        <v>1299</v>
      </c>
      <c r="I98" s="1" t="s">
        <v>445</v>
      </c>
      <c r="J98" s="1" t="s">
        <v>188</v>
      </c>
      <c r="K98" s="5">
        <v>173444.76</v>
      </c>
      <c r="L98" s="6">
        <v>45071</v>
      </c>
      <c r="M98" s="6">
        <v>45291</v>
      </c>
      <c r="N98" s="1" t="s">
        <v>1369</v>
      </c>
    </row>
    <row r="99" spans="1:14" x14ac:dyDescent="0.25">
      <c r="A99" s="4">
        <v>95</v>
      </c>
      <c r="B99" s="2" t="str">
        <f>HYPERLINK("https://my.zakupivli.pro/remote/dispatcher/state_purchase_view/42884899", "UA-2023-05-29-000728-a")</f>
        <v>UA-2023-05-29-000728-a</v>
      </c>
      <c r="C99" s="2" t="str">
        <f>HYPERLINK("https://my.zakupivli.pro/remote/dispatcher/state_contracting_view/16537894", "UA-2023-05-29-000728-a-c1")</f>
        <v>UA-2023-05-29-000728-a-c1</v>
      </c>
      <c r="D99" s="1" t="s">
        <v>605</v>
      </c>
      <c r="E99" s="1" t="s">
        <v>1090</v>
      </c>
      <c r="F99" s="1" t="s">
        <v>606</v>
      </c>
      <c r="G99" s="1" t="s">
        <v>1091</v>
      </c>
      <c r="H99" s="1" t="s">
        <v>1284</v>
      </c>
      <c r="I99" s="1" t="s">
        <v>686</v>
      </c>
      <c r="J99" s="1" t="s">
        <v>186</v>
      </c>
      <c r="K99" s="5">
        <v>7949.99</v>
      </c>
      <c r="L99" s="6">
        <v>45071</v>
      </c>
      <c r="M99" s="6">
        <v>45291</v>
      </c>
      <c r="N99" s="1" t="s">
        <v>1369</v>
      </c>
    </row>
    <row r="100" spans="1:14" x14ac:dyDescent="0.25">
      <c r="A100" s="4">
        <v>96</v>
      </c>
      <c r="B100" s="2" t="str">
        <f>HYPERLINK("https://my.zakupivli.pro/remote/dispatcher/state_purchase_view/41471108", "UA-2023-03-17-000690-a")</f>
        <v>UA-2023-03-17-000690-a</v>
      </c>
      <c r="C100" s="2" t="str">
        <f>HYPERLINK("https://my.zakupivli.pro/remote/dispatcher/state_contracting_view/15907599", "UA-2023-03-17-000690-a-c1")</f>
        <v>UA-2023-03-17-000690-a-c1</v>
      </c>
      <c r="D100" s="1" t="s">
        <v>367</v>
      </c>
      <c r="E100" s="1" t="s">
        <v>1418</v>
      </c>
      <c r="F100" s="1" t="s">
        <v>368</v>
      </c>
      <c r="G100" s="1" t="s">
        <v>1091</v>
      </c>
      <c r="H100" s="1" t="s">
        <v>1138</v>
      </c>
      <c r="I100" s="1" t="s">
        <v>431</v>
      </c>
      <c r="J100" s="1" t="s">
        <v>50</v>
      </c>
      <c r="K100" s="5">
        <v>10500</v>
      </c>
      <c r="L100" s="6">
        <v>45001</v>
      </c>
      <c r="M100" s="6">
        <v>45291</v>
      </c>
      <c r="N100" s="1" t="s">
        <v>1369</v>
      </c>
    </row>
    <row r="101" spans="1:14" x14ac:dyDescent="0.25">
      <c r="A101" s="4">
        <v>97</v>
      </c>
      <c r="B101" s="2" t="str">
        <f>HYPERLINK("https://my.zakupivli.pro/remote/dispatcher/state_purchase_view/41471419", "UA-2023-03-17-000801-a")</f>
        <v>UA-2023-03-17-000801-a</v>
      </c>
      <c r="C101" s="2" t="str">
        <f>HYPERLINK("https://my.zakupivli.pro/remote/dispatcher/state_contracting_view/15907805", "UA-2023-03-17-000801-a-c1")</f>
        <v>UA-2023-03-17-000801-a-c1</v>
      </c>
      <c r="D101" s="1" t="s">
        <v>136</v>
      </c>
      <c r="E101" s="1" t="s">
        <v>1479</v>
      </c>
      <c r="F101" s="1" t="s">
        <v>135</v>
      </c>
      <c r="G101" s="1" t="s">
        <v>1091</v>
      </c>
      <c r="H101" s="1" t="s">
        <v>1095</v>
      </c>
      <c r="I101" s="1" t="s">
        <v>252</v>
      </c>
      <c r="J101" s="1" t="s">
        <v>51</v>
      </c>
      <c r="K101" s="5">
        <v>7920</v>
      </c>
      <c r="L101" s="6">
        <v>45001</v>
      </c>
      <c r="M101" s="6">
        <v>45291</v>
      </c>
      <c r="N101" s="1" t="s">
        <v>1369</v>
      </c>
    </row>
    <row r="102" spans="1:14" x14ac:dyDescent="0.25">
      <c r="A102" s="4">
        <v>98</v>
      </c>
      <c r="B102" s="2" t="str">
        <f>HYPERLINK("https://my.zakupivli.pro/remote/dispatcher/state_purchase_view/41842175", "UA-2023-04-06-003369-a")</f>
        <v>UA-2023-04-06-003369-a</v>
      </c>
      <c r="C102" s="2" t="str">
        <f>HYPERLINK("https://my.zakupivli.pro/remote/dispatcher/state_contracting_view/16065680", "UA-2023-04-06-003369-a-a1")</f>
        <v>UA-2023-04-06-003369-a-a1</v>
      </c>
      <c r="D102" s="1" t="s">
        <v>297</v>
      </c>
      <c r="E102" s="1" t="s">
        <v>1433</v>
      </c>
      <c r="F102" s="1" t="s">
        <v>292</v>
      </c>
      <c r="G102" s="1" t="s">
        <v>1091</v>
      </c>
      <c r="H102" s="1" t="s">
        <v>1260</v>
      </c>
      <c r="I102" s="1" t="s">
        <v>528</v>
      </c>
      <c r="J102" s="1" t="s">
        <v>68</v>
      </c>
      <c r="K102" s="5">
        <v>34224</v>
      </c>
      <c r="L102" s="6">
        <v>45022</v>
      </c>
      <c r="M102" s="6">
        <v>45291</v>
      </c>
      <c r="N102" s="1" t="s">
        <v>1369</v>
      </c>
    </row>
    <row r="103" spans="1:14" x14ac:dyDescent="0.25">
      <c r="A103" s="4">
        <v>99</v>
      </c>
      <c r="B103" s="2" t="str">
        <f>HYPERLINK("https://my.zakupivli.pro/remote/dispatcher/state_purchase_view/43787011", "UA-2023-07-07-002337-a")</f>
        <v>UA-2023-07-07-002337-a</v>
      </c>
      <c r="C103" s="2" t="str">
        <f>HYPERLINK("https://my.zakupivli.pro/remote/dispatcher/state_contracting_view/16950651", "UA-2023-07-07-002337-a-c1")</f>
        <v>UA-2023-07-07-002337-a-c1</v>
      </c>
      <c r="D103" s="1" t="s">
        <v>392</v>
      </c>
      <c r="E103" s="1" t="s">
        <v>1064</v>
      </c>
      <c r="F103" s="1" t="s">
        <v>391</v>
      </c>
      <c r="G103" s="1" t="s">
        <v>1091</v>
      </c>
      <c r="H103" s="1" t="s">
        <v>1105</v>
      </c>
      <c r="I103" s="1" t="s">
        <v>284</v>
      </c>
      <c r="J103" s="1" t="s">
        <v>285</v>
      </c>
      <c r="K103" s="5">
        <v>1589724</v>
      </c>
      <c r="L103" s="6">
        <v>45111</v>
      </c>
      <c r="M103" s="6">
        <v>45291</v>
      </c>
      <c r="N103" s="1" t="s">
        <v>1369</v>
      </c>
    </row>
    <row r="104" spans="1:14" x14ac:dyDescent="0.25">
      <c r="A104" s="4">
        <v>100</v>
      </c>
      <c r="B104" s="2" t="str">
        <f>HYPERLINK("https://my.zakupivli.pro/remote/dispatcher/state_purchase_view/44168925", "UA-2023-07-27-001328-a")</f>
        <v>UA-2023-07-27-001328-a</v>
      </c>
      <c r="C104" s="2" t="str">
        <f>HYPERLINK("https://my.zakupivli.pro/remote/dispatcher/state_contracting_view/17116045", "UA-2023-07-27-001328-a-a1")</f>
        <v>UA-2023-07-27-001328-a-a1</v>
      </c>
      <c r="D104" s="1" t="s">
        <v>130</v>
      </c>
      <c r="E104" s="1" t="s">
        <v>1437</v>
      </c>
      <c r="F104" s="1" t="s">
        <v>127</v>
      </c>
      <c r="G104" s="1" t="s">
        <v>1091</v>
      </c>
      <c r="H104" s="1" t="s">
        <v>1106</v>
      </c>
      <c r="I104" s="1" t="s">
        <v>158</v>
      </c>
      <c r="J104" s="1" t="s">
        <v>336</v>
      </c>
      <c r="K104" s="5">
        <v>22028</v>
      </c>
      <c r="L104" s="6">
        <v>45132</v>
      </c>
      <c r="M104" s="6">
        <v>45291</v>
      </c>
      <c r="N104" s="1" t="s">
        <v>1369</v>
      </c>
    </row>
    <row r="105" spans="1:14" x14ac:dyDescent="0.25">
      <c r="A105" s="4">
        <v>101</v>
      </c>
      <c r="B105" s="2" t="str">
        <f>HYPERLINK("https://my.zakupivli.pro/remote/dispatcher/state_purchase_view/44103421", "UA-2023-07-24-009985-a")</f>
        <v>UA-2023-07-24-009985-a</v>
      </c>
      <c r="C105" s="2" t="str">
        <f>HYPERLINK("https://my.zakupivli.pro/remote/dispatcher/state_contracting_view/17087258", "UA-2023-07-24-009985-a-c1")</f>
        <v>UA-2023-07-24-009985-a-c1</v>
      </c>
      <c r="D105" s="1" t="s">
        <v>89</v>
      </c>
      <c r="E105" s="1" t="s">
        <v>1034</v>
      </c>
      <c r="F105" s="1" t="s">
        <v>87</v>
      </c>
      <c r="G105" s="1" t="s">
        <v>1091</v>
      </c>
      <c r="H105" s="1" t="s">
        <v>1257</v>
      </c>
      <c r="I105" s="1" t="s">
        <v>152</v>
      </c>
      <c r="J105" s="1" t="s">
        <v>324</v>
      </c>
      <c r="K105" s="5">
        <v>67430</v>
      </c>
      <c r="L105" s="6">
        <v>45128</v>
      </c>
      <c r="M105" s="6">
        <v>45291</v>
      </c>
      <c r="N105" s="1" t="s">
        <v>1369</v>
      </c>
    </row>
    <row r="106" spans="1:14" x14ac:dyDescent="0.25">
      <c r="A106" s="4">
        <v>102</v>
      </c>
      <c r="B106" s="2" t="str">
        <f>HYPERLINK("https://my.zakupivli.pro/remote/dispatcher/state_purchase_view/43546900", "UA-2023-06-26-005139-a")</f>
        <v>UA-2023-06-26-005139-a</v>
      </c>
      <c r="C106" s="2" t="str">
        <f>HYPERLINK("https://my.zakupivli.pro/remote/dispatcher/state_contracting_view/16845485", "UA-2023-06-26-005139-a-a1")</f>
        <v>UA-2023-06-26-005139-a-a1</v>
      </c>
      <c r="D106" s="1" t="s">
        <v>76</v>
      </c>
      <c r="E106" s="1" t="s">
        <v>1128</v>
      </c>
      <c r="F106" s="1" t="s">
        <v>79</v>
      </c>
      <c r="G106" s="1" t="s">
        <v>1091</v>
      </c>
      <c r="H106" s="1" t="s">
        <v>1307</v>
      </c>
      <c r="I106" s="1" t="s">
        <v>525</v>
      </c>
      <c r="J106" s="1" t="s">
        <v>263</v>
      </c>
      <c r="K106" s="5">
        <v>502997.4</v>
      </c>
      <c r="L106" s="6">
        <v>45100</v>
      </c>
      <c r="M106" s="6">
        <v>45291</v>
      </c>
      <c r="N106" s="1" t="s">
        <v>1369</v>
      </c>
    </row>
    <row r="107" spans="1:14" x14ac:dyDescent="0.25">
      <c r="A107" s="4">
        <v>103</v>
      </c>
      <c r="B107" s="2" t="str">
        <f>HYPERLINK("https://my.zakupivli.pro/remote/dispatcher/state_purchase_view/44409623", "UA-2023-08-09-002138-a")</f>
        <v>UA-2023-08-09-002138-a</v>
      </c>
      <c r="C107" s="2" t="str">
        <f>HYPERLINK("https://my.zakupivli.pro/remote/dispatcher/state_contracting_view/17219746", "UA-2023-08-09-002138-a-a1")</f>
        <v>UA-2023-08-09-002138-a-a1</v>
      </c>
      <c r="D107" s="1" t="s">
        <v>1073</v>
      </c>
      <c r="E107" s="1" t="s">
        <v>1080</v>
      </c>
      <c r="F107" s="1" t="s">
        <v>483</v>
      </c>
      <c r="G107" s="1" t="s">
        <v>1091</v>
      </c>
      <c r="H107" s="1" t="s">
        <v>1103</v>
      </c>
      <c r="I107" s="1" t="s">
        <v>62</v>
      </c>
      <c r="J107" s="1" t="s">
        <v>254</v>
      </c>
      <c r="K107" s="5">
        <v>47566.04</v>
      </c>
      <c r="L107" s="6">
        <v>45142</v>
      </c>
      <c r="M107" s="6">
        <v>45291</v>
      </c>
      <c r="N107" s="1" t="s">
        <v>1369</v>
      </c>
    </row>
    <row r="108" spans="1:14" x14ac:dyDescent="0.25">
      <c r="A108" s="4">
        <v>104</v>
      </c>
      <c r="B108" s="2" t="str">
        <f>HYPERLINK("https://my.zakupivli.pro/remote/dispatcher/state_purchase_view/44413054", "UA-2023-08-09-003664-a")</f>
        <v>UA-2023-08-09-003664-a</v>
      </c>
      <c r="C108" s="2" t="str">
        <f>HYPERLINK("https://my.zakupivli.pro/remote/dispatcher/state_contracting_view/17221061", "UA-2023-08-09-003664-a-b1")</f>
        <v>UA-2023-08-09-003664-a-b1</v>
      </c>
      <c r="D108" s="1" t="s">
        <v>1074</v>
      </c>
      <c r="E108" s="1" t="s">
        <v>759</v>
      </c>
      <c r="F108" s="1" t="s">
        <v>757</v>
      </c>
      <c r="G108" s="1" t="s">
        <v>1091</v>
      </c>
      <c r="H108" s="1" t="s">
        <v>1271</v>
      </c>
      <c r="I108" s="1" t="s">
        <v>425</v>
      </c>
      <c r="J108" s="1" t="s">
        <v>924</v>
      </c>
      <c r="K108" s="5">
        <v>20399.759999999998</v>
      </c>
      <c r="L108" s="6">
        <v>45142</v>
      </c>
      <c r="M108" s="6">
        <v>45291</v>
      </c>
      <c r="N108" s="1" t="s">
        <v>1369</v>
      </c>
    </row>
    <row r="109" spans="1:14" x14ac:dyDescent="0.25">
      <c r="A109" s="4">
        <v>105</v>
      </c>
      <c r="B109" s="2" t="str">
        <f>HYPERLINK("https://my.zakupivli.pro/remote/dispatcher/state_purchase_view/40495197", "UA-2023-01-31-015062-a")</f>
        <v>UA-2023-01-31-015062-a</v>
      </c>
      <c r="C109" s="2" t="str">
        <f>HYPERLINK("https://my.zakupivli.pro/remote/dispatcher/state_contracting_view/15458886", "UA-2023-01-31-015062-a-b1")</f>
        <v>UA-2023-01-31-015062-a-b1</v>
      </c>
      <c r="D109" s="1" t="s">
        <v>479</v>
      </c>
      <c r="E109" s="1" t="s">
        <v>1146</v>
      </c>
      <c r="F109" s="1" t="s">
        <v>478</v>
      </c>
      <c r="G109" s="1" t="s">
        <v>1091</v>
      </c>
      <c r="H109" s="1" t="s">
        <v>1171</v>
      </c>
      <c r="I109" s="1" t="s">
        <v>154</v>
      </c>
      <c r="J109" s="1" t="s">
        <v>889</v>
      </c>
      <c r="K109" s="5">
        <v>41010</v>
      </c>
      <c r="L109" s="6">
        <v>44957</v>
      </c>
      <c r="M109" s="6">
        <v>45291</v>
      </c>
      <c r="N109" s="1" t="s">
        <v>1369</v>
      </c>
    </row>
    <row r="110" spans="1:14" x14ac:dyDescent="0.25">
      <c r="A110" s="4">
        <v>106</v>
      </c>
      <c r="B110" s="2" t="str">
        <f>HYPERLINK("https://my.zakupivli.pro/remote/dispatcher/state_purchase_view/45660127", "UA-2023-10-05-005377-a")</f>
        <v>UA-2023-10-05-005377-a</v>
      </c>
      <c r="C110" s="2" t="str">
        <f>HYPERLINK("https://my.zakupivli.pro/remote/dispatcher/state_contracting_view/17752850", "UA-2023-10-05-005377-a-c1")</f>
        <v>UA-2023-10-05-005377-a-c1</v>
      </c>
      <c r="D110" s="1" t="s">
        <v>529</v>
      </c>
      <c r="E110" s="1" t="s">
        <v>531</v>
      </c>
      <c r="F110" s="1" t="s">
        <v>530</v>
      </c>
      <c r="G110" s="1" t="s">
        <v>1091</v>
      </c>
      <c r="H110" s="1" t="s">
        <v>1265</v>
      </c>
      <c r="I110" s="1" t="s">
        <v>551</v>
      </c>
      <c r="J110" s="1" t="s">
        <v>771</v>
      </c>
      <c r="K110" s="5">
        <v>9342</v>
      </c>
      <c r="L110" s="6">
        <v>45202</v>
      </c>
      <c r="M110" s="6">
        <v>45291</v>
      </c>
      <c r="N110" s="1" t="s">
        <v>1369</v>
      </c>
    </row>
    <row r="111" spans="1:14" x14ac:dyDescent="0.25">
      <c r="A111" s="4">
        <v>107</v>
      </c>
      <c r="B111" s="2" t="str">
        <f>HYPERLINK("https://my.zakupivli.pro/remote/dispatcher/state_purchase_view/47400522", "UA-2023-12-08-003896-a")</f>
        <v>UA-2023-12-08-003896-a</v>
      </c>
      <c r="C111" s="2" t="str">
        <f>HYPERLINK("https://my.zakupivli.pro/remote/dispatcher/state_contracting_view/18489136", "UA-2023-12-08-003896-a-b1")</f>
        <v>UA-2023-12-08-003896-a-b1</v>
      </c>
      <c r="D111" s="1" t="s">
        <v>580</v>
      </c>
      <c r="E111" s="1" t="s">
        <v>584</v>
      </c>
      <c r="F111" s="1" t="s">
        <v>582</v>
      </c>
      <c r="G111" s="1" t="s">
        <v>1091</v>
      </c>
      <c r="H111" s="1" t="s">
        <v>1265</v>
      </c>
      <c r="I111" s="1" t="s">
        <v>551</v>
      </c>
      <c r="J111" s="1" t="s">
        <v>863</v>
      </c>
      <c r="K111" s="5">
        <v>18500</v>
      </c>
      <c r="L111" s="6">
        <v>45268</v>
      </c>
      <c r="M111" s="6">
        <v>45291</v>
      </c>
      <c r="N111" s="1" t="s">
        <v>1369</v>
      </c>
    </row>
    <row r="112" spans="1:14" x14ac:dyDescent="0.25">
      <c r="A112" s="4">
        <v>108</v>
      </c>
      <c r="B112" s="2" t="str">
        <f>HYPERLINK("https://my.zakupivli.pro/remote/dispatcher/state_purchase_view/47578424", "UA-2023-12-13-011276-a")</f>
        <v>UA-2023-12-13-011276-a</v>
      </c>
      <c r="C112" s="2" t="str">
        <f>HYPERLINK("https://my.zakupivli.pro/remote/dispatcher/state_contracting_view/18564150", "UA-2023-12-13-011276-a-a1")</f>
        <v>UA-2023-12-13-011276-a-a1</v>
      </c>
      <c r="D112" s="1" t="s">
        <v>307</v>
      </c>
      <c r="E112" s="1" t="s">
        <v>1213</v>
      </c>
      <c r="F112" s="1" t="s">
        <v>311</v>
      </c>
      <c r="G112" s="1" t="s">
        <v>1091</v>
      </c>
      <c r="H112" s="1" t="s">
        <v>1274</v>
      </c>
      <c r="I112" s="1" t="s">
        <v>509</v>
      </c>
      <c r="J112" s="1" t="s">
        <v>873</v>
      </c>
      <c r="K112" s="5">
        <v>160981.20000000001</v>
      </c>
      <c r="L112" s="6">
        <v>45273</v>
      </c>
      <c r="M112" s="6">
        <v>45291</v>
      </c>
      <c r="N112" s="1" t="s">
        <v>1369</v>
      </c>
    </row>
    <row r="113" spans="1:14" x14ac:dyDescent="0.25">
      <c r="A113" s="4">
        <v>109</v>
      </c>
      <c r="B113" s="2" t="str">
        <f>HYPERLINK("https://my.zakupivli.pro/remote/dispatcher/state_purchase_view/43123562", "UA-2023-06-07-011868-a")</f>
        <v>UA-2023-06-07-011868-a</v>
      </c>
      <c r="C113" s="2" t="str">
        <f>HYPERLINK("https://my.zakupivli.pro/remote/dispatcher/state_contracting_view/16642544", "UA-2023-06-07-011868-a-a1")</f>
        <v>UA-2023-06-07-011868-a-a1</v>
      </c>
      <c r="D113" s="1" t="s">
        <v>563</v>
      </c>
      <c r="E113" s="1" t="s">
        <v>1237</v>
      </c>
      <c r="F113" s="1" t="s">
        <v>566</v>
      </c>
      <c r="G113" s="1" t="s">
        <v>1091</v>
      </c>
      <c r="H113" s="1" t="s">
        <v>1165</v>
      </c>
      <c r="I113" s="1" t="s">
        <v>15</v>
      </c>
      <c r="J113" s="1" t="s">
        <v>228</v>
      </c>
      <c r="K113" s="5">
        <v>72057</v>
      </c>
      <c r="L113" s="6">
        <v>45084</v>
      </c>
      <c r="M113" s="6">
        <v>45291</v>
      </c>
      <c r="N113" s="1" t="s">
        <v>1369</v>
      </c>
    </row>
    <row r="114" spans="1:14" x14ac:dyDescent="0.25">
      <c r="A114" s="4">
        <v>110</v>
      </c>
      <c r="B114" s="2" t="str">
        <f>HYPERLINK("https://my.zakupivli.pro/remote/dispatcher/state_purchase_view/40013208", "UA-2023-01-12-001761-a")</f>
        <v>UA-2023-01-12-001761-a</v>
      </c>
      <c r="C114" s="2" t="str">
        <f>HYPERLINK("https://my.zakupivli.pro/remote/dispatcher/state_contracting_view/15240367", "UA-2023-01-12-001761-a-c1")</f>
        <v>UA-2023-01-12-001761-a-c1</v>
      </c>
      <c r="D114" s="1" t="s">
        <v>173</v>
      </c>
      <c r="E114" s="1" t="s">
        <v>1395</v>
      </c>
      <c r="F114" s="1" t="s">
        <v>171</v>
      </c>
      <c r="G114" s="1" t="s">
        <v>1091</v>
      </c>
      <c r="H114" s="1" t="s">
        <v>1294</v>
      </c>
      <c r="I114" s="1" t="s">
        <v>522</v>
      </c>
      <c r="J114" s="1" t="s">
        <v>46</v>
      </c>
      <c r="K114" s="5">
        <v>7980</v>
      </c>
      <c r="L114" s="6">
        <v>44937</v>
      </c>
      <c r="M114" s="6">
        <v>45291</v>
      </c>
      <c r="N114" s="1" t="s">
        <v>1369</v>
      </c>
    </row>
    <row r="115" spans="1:14" x14ac:dyDescent="0.25">
      <c r="A115" s="4">
        <v>111</v>
      </c>
      <c r="B115" s="2" t="str">
        <f>HYPERLINK("https://my.zakupivli.pro/remote/dispatcher/state_purchase_view/43455924", "UA-2023-06-21-010836-a")</f>
        <v>UA-2023-06-21-010836-a</v>
      </c>
      <c r="C115" s="2" t="str">
        <f>HYPERLINK("https://my.zakupivli.pro/remote/dispatcher/state_contracting_view/16799935", "UA-2023-06-21-010836-a-b1")</f>
        <v>UA-2023-06-21-010836-a-b1</v>
      </c>
      <c r="D115" s="1" t="s">
        <v>632</v>
      </c>
      <c r="E115" s="1" t="s">
        <v>1422</v>
      </c>
      <c r="F115" s="1" t="s">
        <v>630</v>
      </c>
      <c r="G115" s="1" t="s">
        <v>1091</v>
      </c>
      <c r="H115" s="1" t="s">
        <v>1177</v>
      </c>
      <c r="I115" s="1" t="s">
        <v>498</v>
      </c>
      <c r="J115" s="1" t="s">
        <v>243</v>
      </c>
      <c r="K115" s="5">
        <v>37665.120000000003</v>
      </c>
      <c r="L115" s="6">
        <v>45097</v>
      </c>
      <c r="M115" s="6">
        <v>45291</v>
      </c>
      <c r="N115" s="1" t="s">
        <v>1369</v>
      </c>
    </row>
    <row r="116" spans="1:14" x14ac:dyDescent="0.25">
      <c r="A116" s="4">
        <v>112</v>
      </c>
      <c r="B116" s="2" t="str">
        <f>HYPERLINK("https://my.zakupivli.pro/remote/dispatcher/state_purchase_view/42880178", "UA-2023-05-26-011690-a")</f>
        <v>UA-2023-05-26-011690-a</v>
      </c>
      <c r="C116" s="2" t="str">
        <f>HYPERLINK("https://my.zakupivli.pro/remote/dispatcher/state_contracting_view/16534305", "UA-2023-05-26-011690-a-a1")</f>
        <v>UA-2023-05-26-011690-a-a1</v>
      </c>
      <c r="D116" s="1" t="s">
        <v>120</v>
      </c>
      <c r="E116" s="1" t="s">
        <v>1431</v>
      </c>
      <c r="F116" s="1" t="s">
        <v>121</v>
      </c>
      <c r="G116" s="1" t="s">
        <v>1091</v>
      </c>
      <c r="H116" s="1" t="s">
        <v>1106</v>
      </c>
      <c r="I116" s="1" t="s">
        <v>158</v>
      </c>
      <c r="J116" s="1" t="s">
        <v>203</v>
      </c>
      <c r="K116" s="5">
        <v>28470</v>
      </c>
      <c r="L116" s="6">
        <v>45071</v>
      </c>
      <c r="M116" s="6">
        <v>45291</v>
      </c>
      <c r="N116" s="1" t="s">
        <v>1369</v>
      </c>
    </row>
    <row r="117" spans="1:14" x14ac:dyDescent="0.25">
      <c r="A117" s="4">
        <v>113</v>
      </c>
      <c r="B117" s="2" t="str">
        <f>HYPERLINK("https://my.zakupivli.pro/remote/dispatcher/state_purchase_view/43357107", "UA-2023-06-16-011216-a")</f>
        <v>UA-2023-06-16-011216-a</v>
      </c>
      <c r="C117" s="2" t="str">
        <f>HYPERLINK("https://my.zakupivli.pro/remote/dispatcher/state_contracting_view/16749868", "UA-2023-06-16-011216-a-c1")</f>
        <v>UA-2023-06-16-011216-a-c1</v>
      </c>
      <c r="D117" s="1" t="s">
        <v>593</v>
      </c>
      <c r="E117" s="1" t="s">
        <v>1440</v>
      </c>
      <c r="F117" s="1" t="s">
        <v>586</v>
      </c>
      <c r="G117" s="1" t="s">
        <v>1091</v>
      </c>
      <c r="H117" s="1" t="s">
        <v>1105</v>
      </c>
      <c r="I117" s="1" t="s">
        <v>284</v>
      </c>
      <c r="J117" s="1" t="s">
        <v>236</v>
      </c>
      <c r="K117" s="5">
        <v>22140</v>
      </c>
      <c r="L117" s="6">
        <v>45092</v>
      </c>
      <c r="M117" s="6">
        <v>45291</v>
      </c>
      <c r="N117" s="1" t="s">
        <v>1369</v>
      </c>
    </row>
    <row r="118" spans="1:14" x14ac:dyDescent="0.25">
      <c r="A118" s="4">
        <v>114</v>
      </c>
      <c r="B118" s="2" t="str">
        <f>HYPERLINK("https://my.zakupivli.pro/remote/dispatcher/state_purchase_view/46188557", "UA-2023-10-26-005621-a")</f>
        <v>UA-2023-10-26-005621-a</v>
      </c>
      <c r="C118" s="2" t="str">
        <f>HYPERLINK("https://my.zakupivli.pro/remote/dispatcher/state_contracting_view/17978249", "UA-2023-10-26-005621-a-a1")</f>
        <v>UA-2023-10-26-005621-a-a1</v>
      </c>
      <c r="D118" s="1" t="s">
        <v>590</v>
      </c>
      <c r="E118" s="1" t="s">
        <v>1013</v>
      </c>
      <c r="F118" s="1" t="s">
        <v>594</v>
      </c>
      <c r="G118" s="1" t="s">
        <v>1091</v>
      </c>
      <c r="H118" s="1" t="s">
        <v>1045</v>
      </c>
      <c r="I118" s="1" t="s">
        <v>321</v>
      </c>
      <c r="J118" s="1" t="s">
        <v>798</v>
      </c>
      <c r="K118" s="5">
        <v>19500</v>
      </c>
      <c r="L118" s="6">
        <v>45224</v>
      </c>
      <c r="M118" s="6">
        <v>45291</v>
      </c>
      <c r="N118" s="1" t="s">
        <v>1369</v>
      </c>
    </row>
    <row r="119" spans="1:14" x14ac:dyDescent="0.25">
      <c r="A119" s="4">
        <v>115</v>
      </c>
      <c r="B119" s="2" t="str">
        <f>HYPERLINK("https://my.zakupivli.pro/remote/dispatcher/state_purchase_view/47164225", "UA-2023-12-01-004596-a")</f>
        <v>UA-2023-12-01-004596-a</v>
      </c>
      <c r="C119" s="2" t="str">
        <f>HYPERLINK("https://my.zakupivli.pro/remote/dispatcher/state_contracting_view/18391515", "UA-2023-12-01-004596-a-a1")</f>
        <v>UA-2023-12-01-004596-a-a1</v>
      </c>
      <c r="D119" s="1" t="s">
        <v>839</v>
      </c>
      <c r="E119" s="1" t="s">
        <v>839</v>
      </c>
      <c r="F119" s="1" t="s">
        <v>840</v>
      </c>
      <c r="G119" s="1" t="s">
        <v>1091</v>
      </c>
      <c r="H119" s="1" t="s">
        <v>1290</v>
      </c>
      <c r="I119" s="1" t="s">
        <v>505</v>
      </c>
      <c r="J119" s="1" t="s">
        <v>856</v>
      </c>
      <c r="K119" s="5">
        <v>1500</v>
      </c>
      <c r="L119" s="6">
        <v>45260</v>
      </c>
      <c r="M119" s="6">
        <v>45291</v>
      </c>
      <c r="N119" s="1" t="s">
        <v>1369</v>
      </c>
    </row>
    <row r="120" spans="1:14" x14ac:dyDescent="0.25">
      <c r="A120" s="4">
        <v>116</v>
      </c>
      <c r="B120" s="2" t="str">
        <f>HYPERLINK("https://my.zakupivli.pro/remote/dispatcher/state_purchase_view/40221390", "UA-2023-01-20-012363-a")</f>
        <v>UA-2023-01-20-012363-a</v>
      </c>
      <c r="C120" s="2" t="str">
        <f>HYPERLINK("https://my.zakupivli.pro/remote/dispatcher/state_contracting_view/15332082", "UA-2023-01-20-012363-a-a1")</f>
        <v>UA-2023-01-20-012363-a-a1</v>
      </c>
      <c r="D120" s="1" t="s">
        <v>1005</v>
      </c>
      <c r="E120" s="1" t="s">
        <v>1189</v>
      </c>
      <c r="F120" s="1" t="s">
        <v>1003</v>
      </c>
      <c r="G120" s="1" t="s">
        <v>1091</v>
      </c>
      <c r="H120" s="1" t="s">
        <v>1101</v>
      </c>
      <c r="I120" s="1" t="s">
        <v>424</v>
      </c>
      <c r="J120" s="1" t="s">
        <v>890</v>
      </c>
      <c r="K120" s="5">
        <v>48000</v>
      </c>
      <c r="L120" s="6">
        <v>44945</v>
      </c>
      <c r="M120" s="6">
        <v>45291</v>
      </c>
      <c r="N120" s="1" t="s">
        <v>1369</v>
      </c>
    </row>
    <row r="121" spans="1:14" x14ac:dyDescent="0.25">
      <c r="A121" s="4">
        <v>117</v>
      </c>
      <c r="B121" s="2" t="str">
        <f>HYPERLINK("https://my.zakupivli.pro/remote/dispatcher/state_purchase_view/40053577", "UA-2023-01-13-008935-a")</f>
        <v>UA-2023-01-13-008935-a</v>
      </c>
      <c r="C121" s="2" t="str">
        <f>HYPERLINK("https://my.zakupivli.pro/remote/dispatcher/state_contracting_view/15257655", "UA-2023-01-13-008935-a-a1")</f>
        <v>UA-2023-01-13-008935-a-a1</v>
      </c>
      <c r="D121" s="1" t="s">
        <v>812</v>
      </c>
      <c r="E121" s="1" t="s">
        <v>1205</v>
      </c>
      <c r="F121" s="1" t="s">
        <v>811</v>
      </c>
      <c r="G121" s="1" t="s">
        <v>1091</v>
      </c>
      <c r="H121" s="1" t="s">
        <v>1176</v>
      </c>
      <c r="I121" s="1" t="s">
        <v>101</v>
      </c>
      <c r="J121" s="1" t="s">
        <v>867</v>
      </c>
      <c r="K121" s="5">
        <v>4320</v>
      </c>
      <c r="L121" s="6">
        <v>44938</v>
      </c>
      <c r="M121" s="6">
        <v>45291</v>
      </c>
      <c r="N121" s="1" t="s">
        <v>1369</v>
      </c>
    </row>
    <row r="122" spans="1:14" x14ac:dyDescent="0.25">
      <c r="A122" s="4">
        <v>118</v>
      </c>
      <c r="B122" s="2" t="str">
        <f>HYPERLINK("https://my.zakupivli.pro/remote/dispatcher/state_purchase_view/41219909", "UA-2023-03-03-008683-a")</f>
        <v>UA-2023-03-03-008683-a</v>
      </c>
      <c r="C122" s="2" t="str">
        <f>HYPERLINK("https://my.zakupivli.pro/remote/dispatcher/state_contracting_view/15799475", "UA-2023-03-03-008683-a-b1")</f>
        <v>UA-2023-03-03-008683-a-b1</v>
      </c>
      <c r="D122" s="1" t="s">
        <v>978</v>
      </c>
      <c r="E122" s="1" t="s">
        <v>1445</v>
      </c>
      <c r="F122" s="1" t="s">
        <v>976</v>
      </c>
      <c r="G122" s="1" t="s">
        <v>1091</v>
      </c>
      <c r="H122" s="1" t="s">
        <v>1337</v>
      </c>
      <c r="I122" s="1" t="s">
        <v>67</v>
      </c>
      <c r="J122" s="1" t="s">
        <v>37</v>
      </c>
      <c r="K122" s="5">
        <v>1000</v>
      </c>
      <c r="L122" s="6">
        <v>44988</v>
      </c>
      <c r="M122" s="6">
        <v>45291</v>
      </c>
      <c r="N122" s="1" t="s">
        <v>1369</v>
      </c>
    </row>
    <row r="123" spans="1:14" x14ac:dyDescent="0.25">
      <c r="A123" s="4">
        <v>119</v>
      </c>
      <c r="B123" s="2" t="str">
        <f>HYPERLINK("https://my.zakupivli.pro/remote/dispatcher/state_purchase_view/40890698", "UA-2023-02-16-001925-a")</f>
        <v>UA-2023-02-16-001925-a</v>
      </c>
      <c r="C123" s="2" t="str">
        <f>HYPERLINK("https://my.zakupivli.pro/remote/dispatcher/state_contracting_view/15646101", "UA-2023-02-16-001925-a-b1")</f>
        <v>UA-2023-02-16-001925-a-b1</v>
      </c>
      <c r="D123" s="1" t="s">
        <v>910</v>
      </c>
      <c r="E123" s="1" t="s">
        <v>1195</v>
      </c>
      <c r="F123" s="1" t="s">
        <v>911</v>
      </c>
      <c r="G123" s="1" t="s">
        <v>1091</v>
      </c>
      <c r="H123" s="1" t="s">
        <v>1180</v>
      </c>
      <c r="I123" s="1" t="s">
        <v>770</v>
      </c>
      <c r="J123" s="1" t="s">
        <v>997</v>
      </c>
      <c r="K123" s="5">
        <v>21200</v>
      </c>
      <c r="L123" s="6">
        <v>44972</v>
      </c>
      <c r="M123" s="6">
        <v>45291</v>
      </c>
      <c r="N123" s="1" t="s">
        <v>1369</v>
      </c>
    </row>
    <row r="124" spans="1:14" x14ac:dyDescent="0.25">
      <c r="A124" s="4">
        <v>120</v>
      </c>
      <c r="B124" s="2" t="str">
        <f>HYPERLINK("https://my.zakupivli.pro/remote/dispatcher/state_purchase_view/40168514", "UA-2023-01-19-004389-a")</f>
        <v>UA-2023-01-19-004389-a</v>
      </c>
      <c r="C124" s="2" t="str">
        <f>HYPERLINK("https://my.zakupivli.pro/remote/dispatcher/state_contracting_view/15624155", "UA-2023-01-19-004389-a-c1")</f>
        <v>UA-2023-01-19-004389-a-c1</v>
      </c>
      <c r="D124" s="1" t="s">
        <v>680</v>
      </c>
      <c r="E124" s="1" t="s">
        <v>1081</v>
      </c>
      <c r="F124" s="1" t="s">
        <v>679</v>
      </c>
      <c r="G124" s="1" t="s">
        <v>1056</v>
      </c>
      <c r="H124" s="1" t="s">
        <v>1319</v>
      </c>
      <c r="I124" s="1" t="s">
        <v>701</v>
      </c>
      <c r="J124" s="1" t="s">
        <v>995</v>
      </c>
      <c r="K124" s="5">
        <v>215622.48</v>
      </c>
      <c r="L124" s="6">
        <v>44971</v>
      </c>
      <c r="M124" s="6">
        <v>45291</v>
      </c>
      <c r="N124" s="1" t="s">
        <v>1399</v>
      </c>
    </row>
    <row r="125" spans="1:14" x14ac:dyDescent="0.25">
      <c r="A125" s="4">
        <v>121</v>
      </c>
      <c r="B125" s="2" t="str">
        <f>HYPERLINK("https://my.zakupivli.pro/remote/dispatcher/state_purchase_view/41400745", "UA-2023-03-14-007712-a")</f>
        <v>UA-2023-03-14-007712-a</v>
      </c>
      <c r="C125" s="2" t="str">
        <f>HYPERLINK("https://my.zakupivli.pro/remote/dispatcher/state_contracting_view/15877776", "UA-2023-03-14-007712-a-b1")</f>
        <v>UA-2023-03-14-007712-a-b1</v>
      </c>
      <c r="D125" s="1" t="s">
        <v>592</v>
      </c>
      <c r="E125" s="1" t="s">
        <v>1188</v>
      </c>
      <c r="F125" s="1" t="s">
        <v>586</v>
      </c>
      <c r="G125" s="1" t="s">
        <v>1091</v>
      </c>
      <c r="H125" s="1" t="s">
        <v>1105</v>
      </c>
      <c r="I125" s="1" t="s">
        <v>284</v>
      </c>
      <c r="J125" s="1" t="s">
        <v>48</v>
      </c>
      <c r="K125" s="5">
        <v>14760</v>
      </c>
      <c r="L125" s="6">
        <v>44999</v>
      </c>
      <c r="M125" s="6">
        <v>45291</v>
      </c>
      <c r="N125" s="1" t="s">
        <v>1369</v>
      </c>
    </row>
    <row r="126" spans="1:14" x14ac:dyDescent="0.25">
      <c r="A126" s="4">
        <v>122</v>
      </c>
      <c r="B126" s="2" t="str">
        <f>HYPERLINK("https://my.zakupivli.pro/remote/dispatcher/state_purchase_view/40482446", "UA-2023-01-31-008961-a")</f>
        <v>UA-2023-01-31-008961-a</v>
      </c>
      <c r="C126" s="2" t="str">
        <f>HYPERLINK("https://my.zakupivli.pro/remote/dispatcher/state_contracting_view/15452646", "UA-2023-01-31-008961-a-b1")</f>
        <v>UA-2023-01-31-008961-a-b1</v>
      </c>
      <c r="D126" s="1" t="s">
        <v>105</v>
      </c>
      <c r="E126" s="1" t="s">
        <v>105</v>
      </c>
      <c r="F126" s="1" t="s">
        <v>102</v>
      </c>
      <c r="G126" s="1" t="s">
        <v>1091</v>
      </c>
      <c r="H126" s="1" t="s">
        <v>1280</v>
      </c>
      <c r="I126" s="1" t="s">
        <v>233</v>
      </c>
      <c r="J126" s="1" t="s">
        <v>884</v>
      </c>
      <c r="K126" s="5">
        <v>70356</v>
      </c>
      <c r="L126" s="6">
        <v>44957</v>
      </c>
      <c r="M126" s="6">
        <v>45291</v>
      </c>
      <c r="N126" s="1" t="s">
        <v>1369</v>
      </c>
    </row>
    <row r="127" spans="1:14" x14ac:dyDescent="0.25">
      <c r="A127" s="4">
        <v>123</v>
      </c>
      <c r="B127" s="2" t="str">
        <f>HYPERLINK("https://my.zakupivli.pro/remote/dispatcher/state_purchase_view/41122211", "UA-2023-02-28-001009-a")</f>
        <v>UA-2023-02-28-001009-a</v>
      </c>
      <c r="C127" s="2" t="str">
        <f>HYPERLINK("https://my.zakupivli.pro/remote/dispatcher/state_contracting_view/15755481", "UA-2023-02-28-001009-a-c1")</f>
        <v>UA-2023-02-28-001009-a-c1</v>
      </c>
      <c r="D127" s="1" t="s">
        <v>820</v>
      </c>
      <c r="E127" s="1" t="s">
        <v>1232</v>
      </c>
      <c r="F127" s="1" t="s">
        <v>819</v>
      </c>
      <c r="G127" s="1" t="s">
        <v>1091</v>
      </c>
      <c r="H127" s="1" t="s">
        <v>1122</v>
      </c>
      <c r="I127" s="1" t="s">
        <v>112</v>
      </c>
      <c r="J127" s="1" t="s">
        <v>33</v>
      </c>
      <c r="K127" s="5">
        <v>61600</v>
      </c>
      <c r="L127" s="6">
        <v>44981</v>
      </c>
      <c r="M127" s="6">
        <v>45291</v>
      </c>
      <c r="N127" s="1" t="s">
        <v>1369</v>
      </c>
    </row>
    <row r="128" spans="1:14" x14ac:dyDescent="0.25">
      <c r="A128" s="4">
        <v>124</v>
      </c>
      <c r="B128" s="2" t="str">
        <f>HYPERLINK("https://my.zakupivli.pro/remote/dispatcher/state_purchase_view/42438925", "UA-2023-05-08-010408-a")</f>
        <v>UA-2023-05-08-010408-a</v>
      </c>
      <c r="C128" s="2" t="str">
        <f>HYPERLINK("https://my.zakupivli.pro/remote/dispatcher/state_contracting_view/16329751", "UA-2023-05-08-010408-a-a1")</f>
        <v>UA-2023-05-08-010408-a-a1</v>
      </c>
      <c r="D128" s="1" t="s">
        <v>487</v>
      </c>
      <c r="E128" s="1" t="s">
        <v>1054</v>
      </c>
      <c r="F128" s="1" t="s">
        <v>486</v>
      </c>
      <c r="G128" s="1" t="s">
        <v>1091</v>
      </c>
      <c r="H128" s="1" t="s">
        <v>1256</v>
      </c>
      <c r="I128" s="1" t="s">
        <v>693</v>
      </c>
      <c r="J128" s="1" t="s">
        <v>147</v>
      </c>
      <c r="K128" s="5">
        <v>23400</v>
      </c>
      <c r="L128" s="6">
        <v>45054</v>
      </c>
      <c r="M128" s="6">
        <v>45291</v>
      </c>
      <c r="N128" s="1" t="s">
        <v>1369</v>
      </c>
    </row>
    <row r="129" spans="1:14" x14ac:dyDescent="0.25">
      <c r="A129" s="4">
        <v>125</v>
      </c>
      <c r="B129" s="2" t="str">
        <f>HYPERLINK("https://my.zakupivli.pro/remote/dispatcher/state_purchase_view/42438160", "UA-2023-05-08-010045-a")</f>
        <v>UA-2023-05-08-010045-a</v>
      </c>
      <c r="C129" s="2" t="str">
        <f>HYPERLINK("https://my.zakupivli.pro/remote/dispatcher/state_contracting_view/16329240", "UA-2023-05-08-010045-a-a1")</f>
        <v>UA-2023-05-08-010045-a-a1</v>
      </c>
      <c r="D129" s="1" t="s">
        <v>755</v>
      </c>
      <c r="E129" s="1" t="s">
        <v>1412</v>
      </c>
      <c r="F129" s="1" t="s">
        <v>754</v>
      </c>
      <c r="G129" s="1" t="s">
        <v>1091</v>
      </c>
      <c r="H129" s="1" t="s">
        <v>1256</v>
      </c>
      <c r="I129" s="1" t="s">
        <v>693</v>
      </c>
      <c r="J129" s="1" t="s">
        <v>149</v>
      </c>
      <c r="K129" s="5">
        <v>14220</v>
      </c>
      <c r="L129" s="6">
        <v>45054</v>
      </c>
      <c r="M129" s="6">
        <v>45291</v>
      </c>
      <c r="N129" s="1" t="s">
        <v>1369</v>
      </c>
    </row>
    <row r="130" spans="1:14" x14ac:dyDescent="0.25">
      <c r="A130" s="4">
        <v>126</v>
      </c>
      <c r="B130" s="2" t="str">
        <f>HYPERLINK("https://my.zakupivli.pro/remote/dispatcher/state_purchase_view/44708762", "UA-2023-08-23-007845-a")</f>
        <v>UA-2023-08-23-007845-a</v>
      </c>
      <c r="C130" s="2" t="str">
        <f>HYPERLINK("https://my.zakupivli.pro/remote/dispatcher/state_contracting_view/17579947", "UA-2023-08-23-007845-a-c1")</f>
        <v>UA-2023-08-23-007845-a-c1</v>
      </c>
      <c r="D130" s="1" t="s">
        <v>352</v>
      </c>
      <c r="E130" s="1" t="s">
        <v>355</v>
      </c>
      <c r="F130" s="1" t="s">
        <v>354</v>
      </c>
      <c r="G130" s="1" t="s">
        <v>1056</v>
      </c>
      <c r="H130" s="1" t="s">
        <v>1029</v>
      </c>
      <c r="I130" s="1" t="s">
        <v>537</v>
      </c>
      <c r="J130" s="1" t="s">
        <v>662</v>
      </c>
      <c r="K130" s="5">
        <v>645600</v>
      </c>
      <c r="L130" s="6">
        <v>45184</v>
      </c>
      <c r="M130" s="6">
        <v>45291</v>
      </c>
      <c r="N130" s="1" t="s">
        <v>1399</v>
      </c>
    </row>
    <row r="131" spans="1:14" x14ac:dyDescent="0.25">
      <c r="A131" s="4">
        <v>127</v>
      </c>
      <c r="B131" s="2" t="str">
        <f>HYPERLINK("https://my.zakupivli.pro/remote/dispatcher/state_purchase_view/40882033", "UA-2023-02-15-012140-a")</f>
        <v>UA-2023-02-15-012140-a</v>
      </c>
      <c r="C131" s="2" t="str">
        <f>HYPERLINK("https://my.zakupivli.pro/remote/dispatcher/state_contracting_view/15822821", "UA-2023-02-15-012140-a-a1")</f>
        <v>UA-2023-02-15-012140-a-a1</v>
      </c>
      <c r="D131" s="1" t="s">
        <v>395</v>
      </c>
      <c r="E131" s="1" t="s">
        <v>1118</v>
      </c>
      <c r="F131" s="1" t="s">
        <v>393</v>
      </c>
      <c r="G131" s="1" t="s">
        <v>1056</v>
      </c>
      <c r="H131" s="1" t="s">
        <v>1341</v>
      </c>
      <c r="I131" s="1" t="s">
        <v>189</v>
      </c>
      <c r="J131" s="1" t="s">
        <v>41</v>
      </c>
      <c r="K131" s="5">
        <v>1696020</v>
      </c>
      <c r="L131" s="6">
        <v>44992</v>
      </c>
      <c r="M131" s="6">
        <v>45291</v>
      </c>
      <c r="N131" s="1" t="s">
        <v>1399</v>
      </c>
    </row>
    <row r="132" spans="1:14" x14ac:dyDescent="0.25">
      <c r="A132" s="4">
        <v>128</v>
      </c>
      <c r="B132" s="2" t="str">
        <f>HYPERLINK("https://my.zakupivli.pro/remote/dispatcher/state_purchase_view/42866109", "UA-2023-05-26-005049-a")</f>
        <v>UA-2023-05-26-005049-a</v>
      </c>
      <c r="C132" s="2" t="str">
        <f>HYPERLINK("https://my.zakupivli.pro/remote/dispatcher/state_contracting_view/17030059", "UA-2023-05-26-005049-a-c2")</f>
        <v>UA-2023-05-26-005049-a-c2</v>
      </c>
      <c r="D132" s="1" t="s">
        <v>381</v>
      </c>
      <c r="E132" s="1" t="s">
        <v>1055</v>
      </c>
      <c r="F132" s="1" t="s">
        <v>380</v>
      </c>
      <c r="G132" s="1" t="s">
        <v>1056</v>
      </c>
      <c r="H132" s="1" t="s">
        <v>1331</v>
      </c>
      <c r="I132" s="1" t="s">
        <v>276</v>
      </c>
      <c r="J132" s="1" t="s">
        <v>316</v>
      </c>
      <c r="K132" s="5">
        <v>267500</v>
      </c>
      <c r="L132" s="6">
        <v>45121</v>
      </c>
      <c r="M132" s="6">
        <v>45291</v>
      </c>
      <c r="N132" s="1" t="s">
        <v>1399</v>
      </c>
    </row>
    <row r="133" spans="1:14" x14ac:dyDescent="0.25">
      <c r="A133" s="4">
        <v>129</v>
      </c>
      <c r="B133" s="2" t="str">
        <f>HYPERLINK("https://my.zakupivli.pro/remote/dispatcher/state_purchase_view/46595531", "UA-2023-11-13-005205-a")</f>
        <v>UA-2023-11-13-005205-a</v>
      </c>
      <c r="C133" s="2" t="str">
        <f>HYPERLINK("https://my.zakupivli.pro/remote/dispatcher/state_contracting_view/18416379", "UA-2023-11-13-005205-a-c1")</f>
        <v>UA-2023-11-13-005205-a-c1</v>
      </c>
      <c r="D133" s="1" t="s">
        <v>77</v>
      </c>
      <c r="E133" s="1" t="s">
        <v>1127</v>
      </c>
      <c r="F133" s="1" t="s">
        <v>79</v>
      </c>
      <c r="G133" s="1" t="s">
        <v>1056</v>
      </c>
      <c r="H133" s="1" t="s">
        <v>1251</v>
      </c>
      <c r="I133" s="1" t="s">
        <v>525</v>
      </c>
      <c r="J133" s="1" t="s">
        <v>859</v>
      </c>
      <c r="K133" s="5">
        <v>1926783.48</v>
      </c>
      <c r="L133" s="6">
        <v>45264</v>
      </c>
      <c r="M133" s="6">
        <v>45291</v>
      </c>
      <c r="N133" s="1" t="s">
        <v>1399</v>
      </c>
    </row>
    <row r="134" spans="1:14" x14ac:dyDescent="0.25">
      <c r="A134" s="4">
        <v>130</v>
      </c>
      <c r="B134" s="2" t="str">
        <f>HYPERLINK("https://my.zakupivli.pro/remote/dispatcher/state_purchase_view/45066925", "UA-2023-09-11-001721-a")</f>
        <v>UA-2023-09-11-001721-a</v>
      </c>
      <c r="C134" s="2" t="str">
        <f>HYPERLINK("https://my.zakupivli.pro/remote/dispatcher/state_contracting_view/17739844", "UA-2023-09-11-001721-a-b1")</f>
        <v>UA-2023-09-11-001721-a-b1</v>
      </c>
      <c r="D134" s="1" t="s">
        <v>779</v>
      </c>
      <c r="E134" s="1" t="s">
        <v>781</v>
      </c>
      <c r="F134" s="1" t="s">
        <v>780</v>
      </c>
      <c r="G134" s="1" t="s">
        <v>1056</v>
      </c>
      <c r="H134" s="1" t="s">
        <v>1253</v>
      </c>
      <c r="I134" s="1" t="s">
        <v>329</v>
      </c>
      <c r="J134" s="1" t="s">
        <v>775</v>
      </c>
      <c r="K134" s="5">
        <v>284677.2</v>
      </c>
      <c r="L134" s="6">
        <v>45203</v>
      </c>
      <c r="M134" s="6">
        <v>45291</v>
      </c>
      <c r="N134" s="1" t="s">
        <v>1399</v>
      </c>
    </row>
    <row r="135" spans="1:14" x14ac:dyDescent="0.25">
      <c r="A135" s="4">
        <v>131</v>
      </c>
      <c r="B135" s="2" t="str">
        <f>HYPERLINK("https://my.zakupivli.pro/remote/dispatcher/state_purchase_view/40051654", "UA-2023-01-13-008038-a")</f>
        <v>UA-2023-01-13-008038-a</v>
      </c>
      <c r="C135" s="2" t="str">
        <f>HYPERLINK("https://my.zakupivli.pro/remote/dispatcher/state_contracting_view/15256755", "UA-2023-01-13-008038-a-a1")</f>
        <v>UA-2023-01-13-008038-a-a1</v>
      </c>
      <c r="D135" s="1" t="s">
        <v>1000</v>
      </c>
      <c r="E135" s="1" t="s">
        <v>1197</v>
      </c>
      <c r="F135" s="1" t="s">
        <v>1002</v>
      </c>
      <c r="G135" s="1" t="s">
        <v>1091</v>
      </c>
      <c r="H135" s="1" t="s">
        <v>1130</v>
      </c>
      <c r="I135" s="1" t="s">
        <v>360</v>
      </c>
      <c r="J135" s="1" t="s">
        <v>1360</v>
      </c>
      <c r="K135" s="5">
        <v>7163.52</v>
      </c>
      <c r="L135" s="6">
        <v>44937</v>
      </c>
      <c r="M135" s="6">
        <v>45291</v>
      </c>
      <c r="N135" s="1" t="s">
        <v>1369</v>
      </c>
    </row>
    <row r="136" spans="1:14" x14ac:dyDescent="0.25">
      <c r="A136" s="4">
        <v>132</v>
      </c>
      <c r="B136" s="2" t="str">
        <f>HYPERLINK("https://my.zakupivli.pro/remote/dispatcher/state_purchase_view/41309261", "UA-2023-03-09-003055-a")</f>
        <v>UA-2023-03-09-003055-a</v>
      </c>
      <c r="C136" s="2" t="str">
        <f>HYPERLINK("https://my.zakupivli.pro/remote/dispatcher/state_contracting_view/15838143", "UA-2023-03-09-003055-a-b1")</f>
        <v>UA-2023-03-09-003055-a-b1</v>
      </c>
      <c r="D136" s="1" t="s">
        <v>447</v>
      </c>
      <c r="E136" s="1" t="s">
        <v>1322</v>
      </c>
      <c r="F136" s="1" t="s">
        <v>446</v>
      </c>
      <c r="G136" s="1" t="s">
        <v>1091</v>
      </c>
      <c r="H136" s="1" t="s">
        <v>1177</v>
      </c>
      <c r="I136" s="1" t="s">
        <v>498</v>
      </c>
      <c r="J136" s="1" t="s">
        <v>65</v>
      </c>
      <c r="K136" s="5">
        <v>7260</v>
      </c>
      <c r="L136" s="6">
        <v>44993</v>
      </c>
      <c r="M136" s="6">
        <v>45291</v>
      </c>
      <c r="N136" s="1" t="s">
        <v>1369</v>
      </c>
    </row>
    <row r="137" spans="1:14" x14ac:dyDescent="0.25">
      <c r="A137" s="4">
        <v>133</v>
      </c>
      <c r="B137" s="2" t="str">
        <f>HYPERLINK("https://my.zakupivli.pro/remote/dispatcher/state_purchase_view/41309546", "UA-2023-03-09-003199-a")</f>
        <v>UA-2023-03-09-003199-a</v>
      </c>
      <c r="C137" s="2" t="str">
        <f>HYPERLINK("https://my.zakupivli.pro/remote/dispatcher/state_contracting_view/15838265", "UA-2023-03-09-003199-a-b1")</f>
        <v>UA-2023-03-09-003199-a-b1</v>
      </c>
      <c r="D137" s="1" t="s">
        <v>223</v>
      </c>
      <c r="E137" s="1" t="s">
        <v>1382</v>
      </c>
      <c r="F137" s="1" t="s">
        <v>219</v>
      </c>
      <c r="G137" s="1" t="s">
        <v>1091</v>
      </c>
      <c r="H137" s="1" t="s">
        <v>1177</v>
      </c>
      <c r="I137" s="1" t="s">
        <v>498</v>
      </c>
      <c r="J137" s="1" t="s">
        <v>42</v>
      </c>
      <c r="K137" s="5">
        <v>7764</v>
      </c>
      <c r="L137" s="6">
        <v>44993</v>
      </c>
      <c r="M137" s="6">
        <v>45291</v>
      </c>
      <c r="N137" s="1" t="s">
        <v>1369</v>
      </c>
    </row>
    <row r="138" spans="1:14" x14ac:dyDescent="0.25">
      <c r="A138" s="4">
        <v>134</v>
      </c>
      <c r="B138" s="2" t="str">
        <f>HYPERLINK("https://my.zakupivli.pro/remote/dispatcher/state_purchase_view/41743196", "UA-2023-03-31-004486-a")</f>
        <v>UA-2023-03-31-004486-a</v>
      </c>
      <c r="C138" s="2" t="str">
        <f>HYPERLINK("https://my.zakupivli.pro/remote/dispatcher/state_contracting_view/16023033", "UA-2023-03-31-004486-a-c1")</f>
        <v>UA-2023-03-31-004486-a-c1</v>
      </c>
      <c r="D138" s="1" t="s">
        <v>180</v>
      </c>
      <c r="E138" s="1" t="s">
        <v>1461</v>
      </c>
      <c r="F138" s="1" t="s">
        <v>178</v>
      </c>
      <c r="G138" s="1" t="s">
        <v>1091</v>
      </c>
      <c r="H138" s="1" t="s">
        <v>1171</v>
      </c>
      <c r="I138" s="1" t="s">
        <v>154</v>
      </c>
      <c r="J138" s="1" t="s">
        <v>59</v>
      </c>
      <c r="K138" s="5">
        <v>3600</v>
      </c>
      <c r="L138" s="6">
        <v>45015</v>
      </c>
      <c r="M138" s="6">
        <v>45291</v>
      </c>
      <c r="N138" s="1" t="s">
        <v>1369</v>
      </c>
    </row>
    <row r="139" spans="1:14" x14ac:dyDescent="0.25">
      <c r="A139" s="4">
        <v>135</v>
      </c>
      <c r="B139" s="2" t="str">
        <f>HYPERLINK("https://my.zakupivli.pro/remote/dispatcher/state_purchase_view/43497481", "UA-2023-06-22-014372-a")</f>
        <v>UA-2023-06-22-014372-a</v>
      </c>
      <c r="C139" s="2" t="str">
        <f>HYPERLINK("https://my.zakupivli.pro/remote/dispatcher/state_contracting_view/16821332", "UA-2023-06-22-014372-a-b1")</f>
        <v>UA-2023-06-22-014372-a-b1</v>
      </c>
      <c r="D139" s="1" t="s">
        <v>972</v>
      </c>
      <c r="E139" s="1" t="s">
        <v>1444</v>
      </c>
      <c r="F139" s="1" t="s">
        <v>973</v>
      </c>
      <c r="G139" s="1" t="s">
        <v>1091</v>
      </c>
      <c r="H139" s="1" t="s">
        <v>1045</v>
      </c>
      <c r="I139" s="1" t="s">
        <v>321</v>
      </c>
      <c r="J139" s="1" t="s">
        <v>250</v>
      </c>
      <c r="K139" s="5">
        <v>98000</v>
      </c>
      <c r="L139" s="6">
        <v>45097</v>
      </c>
      <c r="M139" s="6">
        <v>45291</v>
      </c>
      <c r="N139" s="1" t="s">
        <v>1369</v>
      </c>
    </row>
    <row r="140" spans="1:14" x14ac:dyDescent="0.25">
      <c r="A140" s="4">
        <v>136</v>
      </c>
      <c r="B140" s="2" t="str">
        <f>HYPERLINK("https://my.zakupivli.pro/remote/dispatcher/state_purchase_view/42062484", "UA-2023-04-19-003347-a")</f>
        <v>UA-2023-04-19-003347-a</v>
      </c>
      <c r="C140" s="2" t="str">
        <f>HYPERLINK("https://my.zakupivli.pro/remote/dispatcher/state_contracting_view/16160786", "UA-2023-04-19-003347-a-a1")</f>
        <v>UA-2023-04-19-003347-a-a1</v>
      </c>
      <c r="D140" s="1" t="s">
        <v>748</v>
      </c>
      <c r="E140" s="1" t="s">
        <v>1038</v>
      </c>
      <c r="F140" s="1" t="s">
        <v>744</v>
      </c>
      <c r="G140" s="1" t="s">
        <v>1091</v>
      </c>
      <c r="H140" s="1" t="s">
        <v>1246</v>
      </c>
      <c r="I140" s="1" t="s">
        <v>753</v>
      </c>
      <c r="J140" s="1" t="s">
        <v>114</v>
      </c>
      <c r="K140" s="5">
        <v>15771.66</v>
      </c>
      <c r="L140" s="6">
        <v>45035</v>
      </c>
      <c r="M140" s="6">
        <v>45291</v>
      </c>
      <c r="N140" s="1" t="s">
        <v>1369</v>
      </c>
    </row>
    <row r="141" spans="1:14" x14ac:dyDescent="0.25">
      <c r="A141" s="4">
        <v>137</v>
      </c>
      <c r="B141" s="2" t="str">
        <f>HYPERLINK("https://my.zakupivli.pro/remote/dispatcher/state_purchase_view/42693071", "UA-2023-05-18-012226-a")</f>
        <v>UA-2023-05-18-012226-a</v>
      </c>
      <c r="C141" s="2" t="str">
        <f>HYPERLINK("https://my.zakupivli.pro/remote/dispatcher/state_contracting_view/16446362", "UA-2023-05-18-012226-a-c1")</f>
        <v>UA-2023-05-18-012226-a-c1</v>
      </c>
      <c r="D141" s="1" t="s">
        <v>98</v>
      </c>
      <c r="E141" s="1" t="s">
        <v>1388</v>
      </c>
      <c r="F141" s="1" t="s">
        <v>97</v>
      </c>
      <c r="G141" s="1" t="s">
        <v>1091</v>
      </c>
      <c r="H141" s="1" t="s">
        <v>1265</v>
      </c>
      <c r="I141" s="1" t="s">
        <v>551</v>
      </c>
      <c r="J141" s="1" t="s">
        <v>164</v>
      </c>
      <c r="K141" s="5">
        <v>36999</v>
      </c>
      <c r="L141" s="6">
        <v>45062</v>
      </c>
      <c r="M141" s="6">
        <v>45291</v>
      </c>
      <c r="N141" s="1" t="s">
        <v>1369</v>
      </c>
    </row>
    <row r="142" spans="1:14" x14ac:dyDescent="0.25">
      <c r="A142" s="4">
        <v>138</v>
      </c>
      <c r="B142" s="2" t="str">
        <f>HYPERLINK("https://my.zakupivli.pro/remote/dispatcher/state_purchase_view/40114385", "UA-2023-01-17-011326-a")</f>
        <v>UA-2023-01-17-011326-a</v>
      </c>
      <c r="C142" s="2" t="str">
        <f>HYPERLINK("https://my.zakupivli.pro/remote/dispatcher/state_contracting_view/15557402", "UA-2023-01-17-011326-a-a1")</f>
        <v>UA-2023-01-17-011326-a-a1</v>
      </c>
      <c r="D142" s="1" t="s">
        <v>359</v>
      </c>
      <c r="E142" s="1" t="s">
        <v>1370</v>
      </c>
      <c r="F142" s="1" t="s">
        <v>358</v>
      </c>
      <c r="G142" s="1" t="s">
        <v>1056</v>
      </c>
      <c r="H142" s="1" t="s">
        <v>1138</v>
      </c>
      <c r="I142" s="1" t="s">
        <v>431</v>
      </c>
      <c r="J142" s="1" t="s">
        <v>955</v>
      </c>
      <c r="K142" s="5">
        <v>289920</v>
      </c>
      <c r="L142" s="6">
        <v>44964</v>
      </c>
      <c r="M142" s="6">
        <v>45291</v>
      </c>
      <c r="N142" s="1" t="s">
        <v>1399</v>
      </c>
    </row>
    <row r="143" spans="1:14" x14ac:dyDescent="0.25">
      <c r="A143" s="4">
        <v>139</v>
      </c>
      <c r="B143" s="2" t="str">
        <f>HYPERLINK("https://my.zakupivli.pro/remote/dispatcher/state_purchase_view/42401303", "UA-2023-05-05-006921-a")</f>
        <v>UA-2023-05-05-006921-a</v>
      </c>
      <c r="C143" s="2" t="str">
        <f>HYPERLINK("https://my.zakupivli.pro/remote/dispatcher/state_contracting_view/16312144", "UA-2023-05-05-006921-a-a1")</f>
        <v>UA-2023-05-05-006921-a-a1</v>
      </c>
      <c r="D143" s="1" t="s">
        <v>139</v>
      </c>
      <c r="E143" s="1" t="s">
        <v>1474</v>
      </c>
      <c r="F143" s="1" t="s">
        <v>138</v>
      </c>
      <c r="G143" s="1" t="s">
        <v>1091</v>
      </c>
      <c r="H143" s="1" t="s">
        <v>1289</v>
      </c>
      <c r="I143" s="1" t="s">
        <v>235</v>
      </c>
      <c r="J143" s="1" t="s">
        <v>143</v>
      </c>
      <c r="K143" s="5">
        <v>20853.78</v>
      </c>
      <c r="L143" s="6">
        <v>45049</v>
      </c>
      <c r="M143" s="6">
        <v>45291</v>
      </c>
      <c r="N143" s="1" t="s">
        <v>1369</v>
      </c>
    </row>
    <row r="144" spans="1:14" x14ac:dyDescent="0.25">
      <c r="A144" s="4">
        <v>140</v>
      </c>
      <c r="B144" s="2" t="str">
        <f>HYPERLINK("https://my.zakupivli.pro/remote/dispatcher/state_purchase_view/43110164", "UA-2023-06-07-005658-a")</f>
        <v>UA-2023-06-07-005658-a</v>
      </c>
      <c r="C144" s="2" t="str">
        <f>HYPERLINK("https://my.zakupivli.pro/remote/dispatcher/state_contracting_view/16636775", "UA-2023-06-07-005658-a-b1")</f>
        <v>UA-2023-06-07-005658-a-b1</v>
      </c>
      <c r="D144" s="1" t="s">
        <v>131</v>
      </c>
      <c r="E144" s="1" t="s">
        <v>1439</v>
      </c>
      <c r="F144" s="1" t="s">
        <v>127</v>
      </c>
      <c r="G144" s="1" t="s">
        <v>1091</v>
      </c>
      <c r="H144" s="1" t="s">
        <v>1106</v>
      </c>
      <c r="I144" s="1" t="s">
        <v>158</v>
      </c>
      <c r="J144" s="1" t="s">
        <v>209</v>
      </c>
      <c r="K144" s="5">
        <v>22303.200000000001</v>
      </c>
      <c r="L144" s="6">
        <v>45083</v>
      </c>
      <c r="M144" s="6">
        <v>45291</v>
      </c>
      <c r="N144" s="1" t="s">
        <v>1369</v>
      </c>
    </row>
    <row r="145" spans="1:14" x14ac:dyDescent="0.25">
      <c r="A145" s="4">
        <v>141</v>
      </c>
      <c r="B145" s="2" t="str">
        <f>HYPERLINK("https://my.zakupivli.pro/remote/dispatcher/state_purchase_view/43125148", "UA-2023-06-07-012628-a")</f>
        <v>UA-2023-06-07-012628-a</v>
      </c>
      <c r="C145" s="2" t="str">
        <f>HYPERLINK("https://my.zakupivli.pro/remote/dispatcher/state_contracting_view/16643261", "UA-2023-06-07-012628-a-b1")</f>
        <v>UA-2023-06-07-012628-a-b1</v>
      </c>
      <c r="D145" s="1" t="s">
        <v>569</v>
      </c>
      <c r="E145" s="1" t="s">
        <v>1187</v>
      </c>
      <c r="F145" s="1" t="s">
        <v>570</v>
      </c>
      <c r="G145" s="1" t="s">
        <v>1091</v>
      </c>
      <c r="H145" s="1" t="s">
        <v>1165</v>
      </c>
      <c r="I145" s="1" t="s">
        <v>15</v>
      </c>
      <c r="J145" s="1" t="s">
        <v>226</v>
      </c>
      <c r="K145" s="5">
        <v>1227</v>
      </c>
      <c r="L145" s="6">
        <v>45084</v>
      </c>
      <c r="M145" s="6">
        <v>45291</v>
      </c>
      <c r="N145" s="1" t="s">
        <v>1369</v>
      </c>
    </row>
    <row r="146" spans="1:14" x14ac:dyDescent="0.25">
      <c r="A146" s="4">
        <v>142</v>
      </c>
      <c r="B146" s="2" t="str">
        <f>HYPERLINK("https://my.zakupivli.pro/remote/dispatcher/state_purchase_view/43124739", "UA-2023-06-07-012458-a")</f>
        <v>UA-2023-06-07-012458-a</v>
      </c>
      <c r="C146" s="2" t="str">
        <f>HYPERLINK("https://my.zakupivli.pro/remote/dispatcher/state_contracting_view/16643359", "UA-2023-06-07-012458-a-b1")</f>
        <v>UA-2023-06-07-012458-a-b1</v>
      </c>
      <c r="D146" s="1" t="s">
        <v>567</v>
      </c>
      <c r="E146" s="1" t="s">
        <v>1323</v>
      </c>
      <c r="F146" s="1" t="s">
        <v>568</v>
      </c>
      <c r="G146" s="1" t="s">
        <v>1091</v>
      </c>
      <c r="H146" s="1" t="s">
        <v>1165</v>
      </c>
      <c r="I146" s="1" t="s">
        <v>15</v>
      </c>
      <c r="J146" s="1" t="s">
        <v>225</v>
      </c>
      <c r="K146" s="5">
        <v>21309</v>
      </c>
      <c r="L146" s="6">
        <v>45084</v>
      </c>
      <c r="M146" s="6">
        <v>45291</v>
      </c>
      <c r="N146" s="1" t="s">
        <v>1369</v>
      </c>
    </row>
    <row r="147" spans="1:14" x14ac:dyDescent="0.25">
      <c r="A147" s="4">
        <v>143</v>
      </c>
      <c r="B147" s="2" t="str">
        <f>HYPERLINK("https://my.zakupivli.pro/remote/dispatcher/state_purchase_view/44917027", "UA-2023-09-04-007528-a")</f>
        <v>UA-2023-09-04-007528-a</v>
      </c>
      <c r="C147" s="2" t="str">
        <f>HYPERLINK("https://my.zakupivli.pro/remote/dispatcher/state_contracting_view/17729776", "UA-2023-09-04-007528-a-c1")</f>
        <v>UA-2023-09-04-007528-a-c1</v>
      </c>
      <c r="D147" s="1" t="s">
        <v>103</v>
      </c>
      <c r="E147" s="1" t="s">
        <v>107</v>
      </c>
      <c r="F147" s="1" t="s">
        <v>106</v>
      </c>
      <c r="G147" s="1" t="s">
        <v>1056</v>
      </c>
      <c r="H147" s="1" t="s">
        <v>1250</v>
      </c>
      <c r="I147" s="1" t="s">
        <v>640</v>
      </c>
      <c r="J147" s="1" t="s">
        <v>768</v>
      </c>
      <c r="K147" s="5">
        <v>105600</v>
      </c>
      <c r="L147" s="6">
        <v>45202</v>
      </c>
      <c r="M147" s="6">
        <v>45291</v>
      </c>
      <c r="N147" s="1" t="s">
        <v>1399</v>
      </c>
    </row>
    <row r="148" spans="1:14" x14ac:dyDescent="0.25">
      <c r="A148" s="4">
        <v>144</v>
      </c>
      <c r="B148" s="2" t="str">
        <f>HYPERLINK("https://my.zakupivli.pro/remote/dispatcher/state_purchase_view/44559050", "UA-2023-08-16-005733-a")</f>
        <v>UA-2023-08-16-005733-a</v>
      </c>
      <c r="C148" s="2" t="str">
        <f>HYPERLINK("https://my.zakupivli.pro/remote/dispatcher/state_contracting_view/17560332", "UA-2023-08-16-005733-a-a1")</f>
        <v>UA-2023-08-16-005733-a-a1</v>
      </c>
      <c r="D148" s="1" t="s">
        <v>962</v>
      </c>
      <c r="E148" s="1" t="s">
        <v>1206</v>
      </c>
      <c r="F148" s="1" t="s">
        <v>963</v>
      </c>
      <c r="G148" s="1" t="s">
        <v>1056</v>
      </c>
      <c r="H148" s="1" t="s">
        <v>1107</v>
      </c>
      <c r="I148" s="1" t="s">
        <v>510</v>
      </c>
      <c r="J148" s="1" t="s">
        <v>646</v>
      </c>
      <c r="K148" s="5">
        <v>588800</v>
      </c>
      <c r="L148" s="6">
        <v>45183</v>
      </c>
      <c r="M148" s="6">
        <v>45291</v>
      </c>
      <c r="N148" s="1" t="s">
        <v>1399</v>
      </c>
    </row>
    <row r="149" spans="1:14" x14ac:dyDescent="0.25">
      <c r="A149" s="4">
        <v>145</v>
      </c>
      <c r="B149" s="2" t="str">
        <f>HYPERLINK("https://my.zakupivli.pro/remote/dispatcher/state_purchase_view/44496071", "UA-2023-08-14-003655-a")</f>
        <v>UA-2023-08-14-003655-a</v>
      </c>
      <c r="C149" s="2" t="str">
        <f>HYPERLINK("https://my.zakupivli.pro/remote/dispatcher/state_contracting_view/17447556", "UA-2023-08-14-003655-a-a1")</f>
        <v>UA-2023-08-14-003655-a-a1</v>
      </c>
      <c r="D149" s="1" t="s">
        <v>461</v>
      </c>
      <c r="E149" s="1" t="s">
        <v>465</v>
      </c>
      <c r="F149" s="1" t="s">
        <v>464</v>
      </c>
      <c r="G149" s="1" t="s">
        <v>1056</v>
      </c>
      <c r="H149" s="1" t="s">
        <v>1077</v>
      </c>
      <c r="I149" s="1" t="s">
        <v>426</v>
      </c>
      <c r="J149" s="1" t="s">
        <v>602</v>
      </c>
      <c r="K149" s="5">
        <v>88512</v>
      </c>
      <c r="L149" s="6">
        <v>45174</v>
      </c>
      <c r="M149" s="6">
        <v>45291</v>
      </c>
      <c r="N149" s="1" t="s">
        <v>1399</v>
      </c>
    </row>
    <row r="150" spans="1:14" x14ac:dyDescent="0.25">
      <c r="A150" s="4">
        <v>146</v>
      </c>
      <c r="B150" s="2" t="str">
        <f>HYPERLINK("https://my.zakupivli.pro/remote/dispatcher/state_purchase_view/40607435", "UA-2023-02-03-014905-a")</f>
        <v>UA-2023-02-03-014905-a</v>
      </c>
      <c r="C150" s="2" t="str">
        <f>HYPERLINK("https://my.zakupivli.pro/remote/dispatcher/state_contracting_view/15512032", "UA-2023-02-03-014905-a-c1")</f>
        <v>UA-2023-02-03-014905-a-c1</v>
      </c>
      <c r="D150" s="1" t="s">
        <v>994</v>
      </c>
      <c r="E150" s="1" t="s">
        <v>1192</v>
      </c>
      <c r="F150" s="1" t="s">
        <v>993</v>
      </c>
      <c r="G150" s="1" t="s">
        <v>1091</v>
      </c>
      <c r="H150" s="1" t="s">
        <v>1279</v>
      </c>
      <c r="I150" s="1" t="s">
        <v>702</v>
      </c>
      <c r="J150" s="1" t="s">
        <v>926</v>
      </c>
      <c r="K150" s="5">
        <v>337290</v>
      </c>
      <c r="L150" s="6">
        <v>44960</v>
      </c>
      <c r="M150" s="6">
        <v>45291</v>
      </c>
      <c r="N150" s="1" t="s">
        <v>1369</v>
      </c>
    </row>
    <row r="151" spans="1:14" x14ac:dyDescent="0.25">
      <c r="A151" s="4">
        <v>147</v>
      </c>
      <c r="B151" s="2" t="str">
        <f>HYPERLINK("https://my.zakupivli.pro/remote/dispatcher/state_purchase_view/40486265", "UA-2023-01-31-010774-a")</f>
        <v>UA-2023-01-31-010774-a</v>
      </c>
      <c r="C151" s="2" t="str">
        <f>HYPERLINK("https://my.zakupivli.pro/remote/dispatcher/state_contracting_view/15454267", "UA-2023-01-31-010774-a-c1")</f>
        <v>UA-2023-01-31-010774-a-c1</v>
      </c>
      <c r="D151" s="1" t="s">
        <v>691</v>
      </c>
      <c r="E151" s="1" t="s">
        <v>1406</v>
      </c>
      <c r="F151" s="1" t="s">
        <v>689</v>
      </c>
      <c r="G151" s="1" t="s">
        <v>1091</v>
      </c>
      <c r="H151" s="1" t="s">
        <v>1180</v>
      </c>
      <c r="I151" s="1" t="s">
        <v>770</v>
      </c>
      <c r="J151" s="1" t="s">
        <v>1217</v>
      </c>
      <c r="K151" s="5">
        <v>9780</v>
      </c>
      <c r="L151" s="6">
        <v>44957</v>
      </c>
      <c r="M151" s="6">
        <v>45291</v>
      </c>
      <c r="N151" s="1" t="s">
        <v>1369</v>
      </c>
    </row>
    <row r="152" spans="1:14" x14ac:dyDescent="0.25">
      <c r="A152" s="4">
        <v>148</v>
      </c>
      <c r="B152" s="2" t="str">
        <f>HYPERLINK("https://my.zakupivli.pro/remote/dispatcher/state_purchase_view/42259980", "UA-2023-04-28-008120-a")</f>
        <v>UA-2023-04-28-008120-a</v>
      </c>
      <c r="C152" s="2" t="str">
        <f>HYPERLINK("https://my.zakupivli.pro/remote/dispatcher/state_contracting_view/16247634", "UA-2023-04-28-008120-a-c1")</f>
        <v>UA-2023-04-28-008120-a-c1</v>
      </c>
      <c r="D152" s="1" t="s">
        <v>388</v>
      </c>
      <c r="E152" s="1" t="s">
        <v>1476</v>
      </c>
      <c r="F152" s="1" t="s">
        <v>386</v>
      </c>
      <c r="G152" s="1" t="s">
        <v>1091</v>
      </c>
      <c r="H152" s="1" t="s">
        <v>1272</v>
      </c>
      <c r="I152" s="1" t="s">
        <v>503</v>
      </c>
      <c r="J152" s="1" t="s">
        <v>124</v>
      </c>
      <c r="K152" s="5">
        <v>87547.199999999997</v>
      </c>
      <c r="L152" s="6">
        <v>45044</v>
      </c>
      <c r="M152" s="6">
        <v>45291</v>
      </c>
      <c r="N152" s="1" t="s">
        <v>1369</v>
      </c>
    </row>
    <row r="153" spans="1:14" x14ac:dyDescent="0.25">
      <c r="A153" s="4">
        <v>149</v>
      </c>
      <c r="B153" s="2" t="str">
        <f>HYPERLINK("https://my.zakupivli.pro/remote/dispatcher/state_purchase_view/39445801", "UA-2022-12-16-009466-a")</f>
        <v>UA-2022-12-16-009466-a</v>
      </c>
      <c r="C153" s="2" t="str">
        <f>HYPERLINK("https://my.zakupivli.pro/remote/dispatcher/state_contracting_view/15204873", "UA-2022-12-16-009466-a-b1")</f>
        <v>UA-2022-12-16-009466-a-b1</v>
      </c>
      <c r="D153" s="1" t="s">
        <v>902</v>
      </c>
      <c r="E153" s="1" t="s">
        <v>1203</v>
      </c>
      <c r="F153" s="1" t="s">
        <v>901</v>
      </c>
      <c r="G153" s="1" t="s">
        <v>1056</v>
      </c>
      <c r="H153" s="1" t="s">
        <v>1210</v>
      </c>
      <c r="I153" s="1" t="s">
        <v>74</v>
      </c>
      <c r="J153" s="1" t="s">
        <v>31</v>
      </c>
      <c r="K153" s="5">
        <v>208680</v>
      </c>
      <c r="L153" s="6">
        <v>44928</v>
      </c>
      <c r="M153" s="6">
        <v>45291</v>
      </c>
      <c r="N153" s="1" t="s">
        <v>1399</v>
      </c>
    </row>
    <row r="154" spans="1:14" x14ac:dyDescent="0.25">
      <c r="A154" s="4">
        <v>150</v>
      </c>
      <c r="B154" s="2" t="str">
        <f>HYPERLINK("https://my.zakupivli.pro/remote/dispatcher/state_purchase_view/44596570", "UA-2023-08-17-010180-a")</f>
        <v>UA-2023-08-17-010180-a</v>
      </c>
      <c r="C154" s="2" t="str">
        <f>HYPERLINK("https://my.zakupivli.pro/remote/dispatcher/state_contracting_view/17508267", "UA-2023-08-17-010180-a-a1")</f>
        <v>UA-2023-08-17-010180-a-a1</v>
      </c>
      <c r="D154" s="1" t="s">
        <v>30</v>
      </c>
      <c r="E154" s="1" t="s">
        <v>1397</v>
      </c>
      <c r="F154" s="1" t="s">
        <v>28</v>
      </c>
      <c r="G154" s="1" t="s">
        <v>1056</v>
      </c>
      <c r="H154" s="1" t="s">
        <v>1082</v>
      </c>
      <c r="I154" s="1" t="s">
        <v>695</v>
      </c>
      <c r="J154" s="1" t="s">
        <v>637</v>
      </c>
      <c r="K154" s="5">
        <v>39798765.600000001</v>
      </c>
      <c r="L154" s="6">
        <v>45177</v>
      </c>
      <c r="M154" s="6">
        <v>45291</v>
      </c>
      <c r="N154" s="1" t="s">
        <v>1399</v>
      </c>
    </row>
    <row r="155" spans="1:14" x14ac:dyDescent="0.25">
      <c r="A155" s="4">
        <v>151</v>
      </c>
      <c r="B155" s="2" t="str">
        <f>HYPERLINK("https://my.zakupivli.pro/remote/dispatcher/state_purchase_view/41394216", "UA-2023-03-14-004878-a")</f>
        <v>UA-2023-03-14-004878-a</v>
      </c>
      <c r="C155" s="2" t="str">
        <f>HYPERLINK("https://my.zakupivli.pro/remote/dispatcher/state_contracting_view/16022616", "UA-2023-03-14-004878-a-a1")</f>
        <v>UA-2023-03-14-004878-a-a1</v>
      </c>
      <c r="D155" s="1" t="s">
        <v>764</v>
      </c>
      <c r="E155" s="1" t="s">
        <v>1230</v>
      </c>
      <c r="F155" s="1" t="s">
        <v>763</v>
      </c>
      <c r="G155" s="1" t="s">
        <v>1056</v>
      </c>
      <c r="H155" s="1" t="s">
        <v>1052</v>
      </c>
      <c r="I155" s="1" t="s">
        <v>382</v>
      </c>
      <c r="J155" s="1" t="s">
        <v>60</v>
      </c>
      <c r="K155" s="5">
        <v>417706.5</v>
      </c>
      <c r="L155" s="6">
        <v>45016</v>
      </c>
      <c r="M155" s="6">
        <v>45291</v>
      </c>
      <c r="N155" s="1" t="s">
        <v>1399</v>
      </c>
    </row>
    <row r="156" spans="1:14" x14ac:dyDescent="0.25">
      <c r="A156" s="4">
        <v>152</v>
      </c>
      <c r="B156" s="2" t="str">
        <f>HYPERLINK("https://my.zakupivli.pro/remote/dispatcher/state_purchase_view/44415500", "UA-2023-08-09-004759-a")</f>
        <v>UA-2023-08-09-004759-a</v>
      </c>
      <c r="C156" s="2" t="str">
        <f>HYPERLINK("https://my.zakupivli.pro/remote/dispatcher/state_contracting_view/17222088", "UA-2023-08-09-004759-a-c1")</f>
        <v>UA-2023-08-09-004759-a-c1</v>
      </c>
      <c r="D156" s="1" t="s">
        <v>1075</v>
      </c>
      <c r="E156" s="1" t="s">
        <v>1</v>
      </c>
      <c r="F156" s="1" t="s">
        <v>946</v>
      </c>
      <c r="G156" s="1" t="s">
        <v>1091</v>
      </c>
      <c r="H156" s="1" t="s">
        <v>1266</v>
      </c>
      <c r="I156" s="1" t="s">
        <v>543</v>
      </c>
      <c r="J156" s="1" t="s">
        <v>511</v>
      </c>
      <c r="K156" s="5">
        <v>99000</v>
      </c>
      <c r="L156" s="6">
        <v>45147</v>
      </c>
      <c r="M156" s="6">
        <v>45291</v>
      </c>
      <c r="N156" s="1" t="s">
        <v>1369</v>
      </c>
    </row>
    <row r="157" spans="1:14" x14ac:dyDescent="0.25">
      <c r="A157" s="4">
        <v>153</v>
      </c>
      <c r="B157" s="2" t="str">
        <f>HYPERLINK("https://my.zakupivli.pro/remote/dispatcher/state_purchase_view/45147324", "UA-2023-09-13-008525-a")</f>
        <v>UA-2023-09-13-008525-a</v>
      </c>
      <c r="C157" s="2" t="str">
        <f>HYPERLINK("https://my.zakupivli.pro/remote/dispatcher/state_contracting_view/17535558", "UA-2023-09-13-008525-a-c1")</f>
        <v>UA-2023-09-13-008525-a-c1</v>
      </c>
      <c r="D157" s="1" t="s">
        <v>472</v>
      </c>
      <c r="E157" s="1" t="s">
        <v>1410</v>
      </c>
      <c r="F157" s="1" t="s">
        <v>471</v>
      </c>
      <c r="G157" s="1" t="s">
        <v>1091</v>
      </c>
      <c r="H157" s="1" t="s">
        <v>1105</v>
      </c>
      <c r="I157" s="1" t="s">
        <v>284</v>
      </c>
      <c r="J157" s="1" t="s">
        <v>641</v>
      </c>
      <c r="K157" s="5">
        <v>960300</v>
      </c>
      <c r="L157" s="6">
        <v>45180</v>
      </c>
      <c r="M157" s="6">
        <v>45291</v>
      </c>
      <c r="N157" s="1" t="s">
        <v>1369</v>
      </c>
    </row>
    <row r="158" spans="1:14" x14ac:dyDescent="0.25">
      <c r="A158" s="4">
        <v>154</v>
      </c>
      <c r="B158" s="2" t="str">
        <f>HYPERLINK("https://my.zakupivli.pro/remote/dispatcher/state_purchase_view/45658928", "UA-2023-10-05-004804-a")</f>
        <v>UA-2023-10-05-004804-a</v>
      </c>
      <c r="C158" s="2" t="str">
        <f>HYPERLINK("https://my.zakupivli.pro/remote/dispatcher/state_contracting_view/17752060", "UA-2023-10-05-004804-a-a1")</f>
        <v>UA-2023-10-05-004804-a-a1</v>
      </c>
      <c r="D158" s="1" t="s">
        <v>934</v>
      </c>
      <c r="E158" s="1" t="s">
        <v>936</v>
      </c>
      <c r="F158" s="1" t="s">
        <v>933</v>
      </c>
      <c r="G158" s="1" t="s">
        <v>1091</v>
      </c>
      <c r="H158" s="1" t="s">
        <v>1310</v>
      </c>
      <c r="I158" s="1" t="s">
        <v>63</v>
      </c>
      <c r="J158" s="1" t="s">
        <v>786</v>
      </c>
      <c r="K158" s="5">
        <v>7680</v>
      </c>
      <c r="L158" s="6">
        <v>45203</v>
      </c>
      <c r="M158" s="6">
        <v>45291</v>
      </c>
      <c r="N158" s="1" t="s">
        <v>1369</v>
      </c>
    </row>
    <row r="159" spans="1:14" x14ac:dyDescent="0.25">
      <c r="A159" s="4">
        <v>155</v>
      </c>
      <c r="B159" s="2" t="str">
        <f>HYPERLINK("https://my.zakupivli.pro/remote/dispatcher/state_purchase_view/44971385", "UA-2023-09-06-003347-a")</f>
        <v>UA-2023-09-06-003347-a</v>
      </c>
      <c r="C159" s="2" t="str">
        <f>HYPERLINK("https://my.zakupivli.pro/remote/dispatcher/state_contracting_view/17460689", "UA-2023-09-06-003347-a-a1")</f>
        <v>UA-2023-09-06-003347-a-a1</v>
      </c>
      <c r="D159" s="1" t="s">
        <v>418</v>
      </c>
      <c r="E159" s="1" t="s">
        <v>418</v>
      </c>
      <c r="F159" s="1" t="s">
        <v>419</v>
      </c>
      <c r="G159" s="1" t="s">
        <v>1091</v>
      </c>
      <c r="H159" s="1" t="s">
        <v>1287</v>
      </c>
      <c r="I159" s="1" t="s">
        <v>596</v>
      </c>
      <c r="J159" s="1" t="s">
        <v>623</v>
      </c>
      <c r="K159" s="5">
        <v>81288.479999999996</v>
      </c>
      <c r="L159" s="6">
        <v>45175</v>
      </c>
      <c r="M159" s="6">
        <v>45291</v>
      </c>
      <c r="N159" s="1" t="s">
        <v>1369</v>
      </c>
    </row>
    <row r="160" spans="1:14" x14ac:dyDescent="0.25">
      <c r="A160" s="4">
        <v>156</v>
      </c>
      <c r="B160" s="2" t="str">
        <f>HYPERLINK("https://my.zakupivli.pro/remote/dispatcher/state_purchase_view/45014170", "UA-2023-09-07-007250-a")</f>
        <v>UA-2023-09-07-007250-a</v>
      </c>
      <c r="C160" s="2" t="str">
        <f>HYPERLINK("https://my.zakupivli.pro/remote/dispatcher/state_contracting_view/17478960", "UA-2023-09-07-007250-a-b1")</f>
        <v>UA-2023-09-07-007250-a-b1</v>
      </c>
      <c r="D160" s="1" t="s">
        <v>539</v>
      </c>
      <c r="E160" s="1" t="s">
        <v>541</v>
      </c>
      <c r="F160" s="1" t="s">
        <v>540</v>
      </c>
      <c r="G160" s="1" t="s">
        <v>1091</v>
      </c>
      <c r="H160" s="1" t="s">
        <v>1342</v>
      </c>
      <c r="I160" s="1" t="s">
        <v>398</v>
      </c>
      <c r="J160" s="1" t="s">
        <v>636</v>
      </c>
      <c r="K160" s="5">
        <v>3448</v>
      </c>
      <c r="L160" s="6">
        <v>45176</v>
      </c>
      <c r="M160" s="6">
        <v>45291</v>
      </c>
      <c r="N160" s="1" t="s">
        <v>1369</v>
      </c>
    </row>
    <row r="161" spans="1:14" x14ac:dyDescent="0.25">
      <c r="A161" s="4">
        <v>157</v>
      </c>
      <c r="B161" s="2" t="str">
        <f>HYPERLINK("https://my.zakupivli.pro/remote/dispatcher/state_purchase_view/45266864", "UA-2023-09-19-002763-a")</f>
        <v>UA-2023-09-19-002763-a</v>
      </c>
      <c r="C161" s="2" t="str">
        <f>HYPERLINK("https://my.zakupivli.pro/remote/dispatcher/state_contracting_view/17585754", "UA-2023-09-19-002763-a-a1")</f>
        <v>UA-2023-09-19-002763-a-a1</v>
      </c>
      <c r="D161" s="1" t="s">
        <v>220</v>
      </c>
      <c r="E161" s="1" t="s">
        <v>220</v>
      </c>
      <c r="F161" s="1" t="s">
        <v>219</v>
      </c>
      <c r="G161" s="1" t="s">
        <v>1091</v>
      </c>
      <c r="H161" s="1" t="s">
        <v>1345</v>
      </c>
      <c r="I161" s="1" t="s">
        <v>362</v>
      </c>
      <c r="J161" s="1" t="s">
        <v>665</v>
      </c>
      <c r="K161" s="5">
        <v>46500</v>
      </c>
      <c r="L161" s="6">
        <v>45184</v>
      </c>
      <c r="M161" s="6">
        <v>45291</v>
      </c>
      <c r="N161" s="1" t="s">
        <v>1369</v>
      </c>
    </row>
    <row r="162" spans="1:14" x14ac:dyDescent="0.25">
      <c r="A162" s="4">
        <v>158</v>
      </c>
      <c r="B162" s="2" t="str">
        <f>HYPERLINK("https://my.zakupivli.pro/remote/dispatcher/state_purchase_view/46609459", "UA-2023-11-13-011460-a")</f>
        <v>UA-2023-11-13-011460-a</v>
      </c>
      <c r="C162" s="2" t="str">
        <f>HYPERLINK("https://my.zakupivli.pro/remote/dispatcher/state_contracting_view/18158826", "UA-2023-11-13-011460-a-a1")</f>
        <v>UA-2023-11-13-011460-a-a1</v>
      </c>
      <c r="D162" s="1" t="s">
        <v>977</v>
      </c>
      <c r="E162" s="1" t="s">
        <v>977</v>
      </c>
      <c r="F162" s="1" t="s">
        <v>976</v>
      </c>
      <c r="G162" s="1" t="s">
        <v>1091</v>
      </c>
      <c r="H162" s="1" t="s">
        <v>1046</v>
      </c>
      <c r="I162" s="1" t="s">
        <v>232</v>
      </c>
      <c r="J162" s="1" t="s">
        <v>816</v>
      </c>
      <c r="K162" s="5">
        <v>1500</v>
      </c>
      <c r="L162" s="6">
        <v>45243</v>
      </c>
      <c r="M162" s="6">
        <v>45291</v>
      </c>
      <c r="N162" s="1" t="s">
        <v>1369</v>
      </c>
    </row>
    <row r="163" spans="1:14" x14ac:dyDescent="0.25">
      <c r="A163" s="4">
        <v>159</v>
      </c>
      <c r="B163" s="2" t="str">
        <f>HYPERLINK("https://my.zakupivli.pro/remote/dispatcher/state_purchase_view/47936779", "UA-2023-12-22-002097-a")</f>
        <v>UA-2023-12-22-002097-a</v>
      </c>
      <c r="C163" s="2" t="str">
        <f>HYPERLINK("https://my.zakupivli.pro/remote/dispatcher/state_contracting_view/18720566", "UA-2023-12-22-002097-a-b1")</f>
        <v>UA-2023-12-22-002097-a-b1</v>
      </c>
      <c r="D163" s="1" t="s">
        <v>575</v>
      </c>
      <c r="E163" s="1" t="s">
        <v>1482</v>
      </c>
      <c r="F163" s="1" t="s">
        <v>574</v>
      </c>
      <c r="G163" s="1" t="s">
        <v>1091</v>
      </c>
      <c r="H163" s="1" t="s">
        <v>1177</v>
      </c>
      <c r="I163" s="1" t="s">
        <v>498</v>
      </c>
      <c r="J163" s="1" t="s">
        <v>882</v>
      </c>
      <c r="K163" s="5">
        <v>27288</v>
      </c>
      <c r="L163" s="6">
        <v>45281</v>
      </c>
      <c r="M163" s="6">
        <v>45291</v>
      </c>
      <c r="N163" s="1" t="s">
        <v>1369</v>
      </c>
    </row>
    <row r="164" spans="1:14" x14ac:dyDescent="0.25">
      <c r="A164" s="4">
        <v>160</v>
      </c>
      <c r="B164" s="2" t="str">
        <f>HYPERLINK("https://my.zakupivli.pro/remote/dispatcher/state_purchase_view/47307327", "UA-2023-12-06-005785-a")</f>
        <v>UA-2023-12-06-005785-a</v>
      </c>
      <c r="C164" s="2" t="str">
        <f>HYPERLINK("https://my.zakupivli.pro/remote/dispatcher/state_contracting_view/18450126", "UA-2023-12-06-005785-a-c1")</f>
        <v>UA-2023-12-06-005785-a-c1</v>
      </c>
      <c r="D164" s="1" t="s">
        <v>865</v>
      </c>
      <c r="E164" s="1" t="s">
        <v>1385</v>
      </c>
      <c r="F164" s="1" t="s">
        <v>866</v>
      </c>
      <c r="G164" s="1" t="s">
        <v>1091</v>
      </c>
      <c r="H164" s="1" t="s">
        <v>1180</v>
      </c>
      <c r="I164" s="1" t="s">
        <v>770</v>
      </c>
      <c r="J164" s="1" t="s">
        <v>860</v>
      </c>
      <c r="K164" s="5">
        <v>20952</v>
      </c>
      <c r="L164" s="6">
        <v>45264</v>
      </c>
      <c r="M164" s="6">
        <v>45291</v>
      </c>
      <c r="N164" s="1" t="s">
        <v>1369</v>
      </c>
    </row>
    <row r="165" spans="1:14" x14ac:dyDescent="0.25">
      <c r="A165" s="4">
        <v>161</v>
      </c>
      <c r="B165" s="2" t="str">
        <f>HYPERLINK("https://my.zakupivli.pro/remote/dispatcher/state_purchase_view/48047834", "UA-2023-12-26-012186-a")</f>
        <v>UA-2023-12-26-012186-a</v>
      </c>
      <c r="C165" s="2" t="str">
        <f>HYPERLINK("https://my.zakupivli.pro/remote/dispatcher/state_contracting_view/18772389", "UA-2023-12-26-012186-a-a1")</f>
        <v>UA-2023-12-26-012186-a-a1</v>
      </c>
      <c r="D165" s="1" t="s">
        <v>328</v>
      </c>
      <c r="E165" s="1" t="s">
        <v>1458</v>
      </c>
      <c r="F165" s="1" t="s">
        <v>330</v>
      </c>
      <c r="G165" s="1" t="s">
        <v>1091</v>
      </c>
      <c r="H165" s="1" t="s">
        <v>1271</v>
      </c>
      <c r="I165" s="1" t="s">
        <v>425</v>
      </c>
      <c r="J165" s="1" t="s">
        <v>40</v>
      </c>
      <c r="K165" s="5">
        <v>13573.66</v>
      </c>
      <c r="L165" s="6">
        <v>45286</v>
      </c>
      <c r="M165" s="6">
        <v>45291</v>
      </c>
      <c r="N165" s="1" t="s">
        <v>1369</v>
      </c>
    </row>
    <row r="166" spans="1:14" x14ac:dyDescent="0.25">
      <c r="A166" s="4">
        <v>162</v>
      </c>
      <c r="B166" s="2" t="str">
        <f>HYPERLINK("https://my.zakupivli.pro/remote/dispatcher/state_purchase_view/48047130", "UA-2023-12-26-011875-a")</f>
        <v>UA-2023-12-26-011875-a</v>
      </c>
      <c r="C166" s="2" t="str">
        <f>HYPERLINK("https://my.zakupivli.pro/remote/dispatcher/state_contracting_view/18772256", "UA-2023-12-26-011875-a-b1")</f>
        <v>UA-2023-12-26-011875-a-b1</v>
      </c>
      <c r="D166" s="1" t="s">
        <v>975</v>
      </c>
      <c r="E166" s="1" t="s">
        <v>1449</v>
      </c>
      <c r="F166" s="1" t="s">
        <v>974</v>
      </c>
      <c r="G166" s="1" t="s">
        <v>1091</v>
      </c>
      <c r="H166" s="1" t="s">
        <v>1148</v>
      </c>
      <c r="I166" s="1" t="s">
        <v>282</v>
      </c>
      <c r="J166" s="1" t="s">
        <v>886</v>
      </c>
      <c r="K166" s="5">
        <v>5970</v>
      </c>
      <c r="L166" s="6">
        <v>45282</v>
      </c>
      <c r="M166" s="6">
        <v>45291</v>
      </c>
      <c r="N166" s="1" t="s">
        <v>1369</v>
      </c>
    </row>
    <row r="167" spans="1:14" x14ac:dyDescent="0.25">
      <c r="A167" s="4">
        <v>163</v>
      </c>
      <c r="B167" s="2" t="str">
        <f>HYPERLINK("https://my.zakupivli.pro/remote/dispatcher/state_purchase_view/43640198", "UA-2023-06-29-008057-a")</f>
        <v>UA-2023-06-29-008057-a</v>
      </c>
      <c r="C167" s="2" t="str">
        <f>HYPERLINK("https://my.zakupivli.pro/remote/dispatcher/state_contracting_view/16886627", "UA-2023-06-29-008057-a-c1")</f>
        <v>UA-2023-06-29-008057-a-c1</v>
      </c>
      <c r="D167" s="1" t="s">
        <v>438</v>
      </c>
      <c r="E167" s="1" t="s">
        <v>1374</v>
      </c>
      <c r="F167" s="1" t="s">
        <v>437</v>
      </c>
      <c r="G167" s="1" t="s">
        <v>1091</v>
      </c>
      <c r="H167" s="1" t="s">
        <v>1179</v>
      </c>
      <c r="I167" s="1" t="s">
        <v>155</v>
      </c>
      <c r="J167" s="1" t="s">
        <v>268</v>
      </c>
      <c r="K167" s="5">
        <v>1775.6</v>
      </c>
      <c r="L167" s="6">
        <v>45104</v>
      </c>
      <c r="M167" s="6">
        <v>45291</v>
      </c>
      <c r="N167" s="1" t="s">
        <v>1369</v>
      </c>
    </row>
    <row r="168" spans="1:14" x14ac:dyDescent="0.25">
      <c r="A168" s="4">
        <v>164</v>
      </c>
      <c r="B168" s="2" t="str">
        <f>HYPERLINK("https://my.zakupivli.pro/remote/dispatcher/state_purchase_view/45307696", "UA-2023-09-20-005260-a")</f>
        <v>UA-2023-09-20-005260-a</v>
      </c>
      <c r="C168" s="2" t="str">
        <f>HYPERLINK("https://my.zakupivli.pro/remote/dispatcher/state_contracting_view/17602813", "UA-2023-09-20-005260-a-a1")</f>
        <v>UA-2023-09-20-005260-a-a1</v>
      </c>
      <c r="D168" s="1" t="s">
        <v>576</v>
      </c>
      <c r="E168" s="1" t="s">
        <v>579</v>
      </c>
      <c r="F168" s="1" t="s">
        <v>578</v>
      </c>
      <c r="G168" s="1" t="s">
        <v>1091</v>
      </c>
      <c r="H168" s="1" t="s">
        <v>1177</v>
      </c>
      <c r="I168" s="1" t="s">
        <v>498</v>
      </c>
      <c r="J168" s="1" t="s">
        <v>671</v>
      </c>
      <c r="K168" s="5">
        <v>6091.2</v>
      </c>
      <c r="L168" s="6">
        <v>45188</v>
      </c>
      <c r="M168" s="6">
        <v>45291</v>
      </c>
      <c r="N168" s="1" t="s">
        <v>1369</v>
      </c>
    </row>
    <row r="169" spans="1:14" x14ac:dyDescent="0.25">
      <c r="A169" s="4">
        <v>165</v>
      </c>
      <c r="B169" s="2" t="str">
        <f>HYPERLINK("https://my.zakupivli.pro/remote/dispatcher/state_purchase_view/44986883", "UA-2023-09-06-010399-a")</f>
        <v>UA-2023-09-06-010399-a</v>
      </c>
      <c r="C169" s="2" t="str">
        <f>HYPERLINK("https://my.zakupivli.pro/remote/dispatcher/state_contracting_view/17467392", "UA-2023-09-06-010399-a-a1")</f>
        <v>UA-2023-09-06-010399-a-a1</v>
      </c>
      <c r="D169" s="1" t="s">
        <v>365</v>
      </c>
      <c r="E169" s="1" t="s">
        <v>365</v>
      </c>
      <c r="F169" s="1" t="s">
        <v>364</v>
      </c>
      <c r="G169" s="1" t="s">
        <v>1091</v>
      </c>
      <c r="H169" s="1" t="s">
        <v>1166</v>
      </c>
      <c r="I169" s="1" t="s">
        <v>484</v>
      </c>
      <c r="J169" s="1" t="s">
        <v>601</v>
      </c>
      <c r="K169" s="5">
        <v>12060</v>
      </c>
      <c r="L169" s="6">
        <v>45173</v>
      </c>
      <c r="M169" s="6">
        <v>45291</v>
      </c>
      <c r="N169" s="1" t="s">
        <v>1369</v>
      </c>
    </row>
    <row r="170" spans="1:14" x14ac:dyDescent="0.25">
      <c r="A170" s="4">
        <v>166</v>
      </c>
      <c r="B170" s="2" t="str">
        <f>HYPERLINK("https://my.zakupivli.pro/remote/dispatcher/state_purchase_view/43576052", "UA-2023-06-27-004759-a")</f>
        <v>UA-2023-06-27-004759-a</v>
      </c>
      <c r="C170" s="2" t="str">
        <f>HYPERLINK("https://my.zakupivli.pro/remote/dispatcher/state_contracting_view/17086689", "UA-2023-06-27-004759-a-c1")</f>
        <v>UA-2023-06-27-004759-a-c1</v>
      </c>
      <c r="D170" s="1" t="s">
        <v>78</v>
      </c>
      <c r="E170" s="1" t="s">
        <v>1321</v>
      </c>
      <c r="F170" s="1" t="s">
        <v>79</v>
      </c>
      <c r="G170" s="1" t="s">
        <v>1056</v>
      </c>
      <c r="H170" s="1" t="s">
        <v>1229</v>
      </c>
      <c r="I170" s="1" t="s">
        <v>245</v>
      </c>
      <c r="J170" s="1" t="s">
        <v>323</v>
      </c>
      <c r="K170" s="5">
        <v>222244.2</v>
      </c>
      <c r="L170" s="6">
        <v>45128</v>
      </c>
      <c r="M170" s="6">
        <v>45291</v>
      </c>
      <c r="N170" s="1" t="s">
        <v>1399</v>
      </c>
    </row>
    <row r="171" spans="1:14" x14ac:dyDescent="0.25">
      <c r="A171" s="4">
        <v>167</v>
      </c>
      <c r="B171" s="2" t="str">
        <f>HYPERLINK("https://my.zakupivli.pro/remote/dispatcher/state_purchase_view/45359538", "UA-2023-09-21-012705-a")</f>
        <v>UA-2023-09-21-012705-a</v>
      </c>
      <c r="C171" s="2" t="str">
        <f>HYPERLINK("https://my.zakupivli.pro/remote/dispatcher/state_contracting_view/17624513", "UA-2023-09-21-012705-a-a1")</f>
        <v>UA-2023-09-21-012705-a-a1</v>
      </c>
      <c r="D171" s="1" t="s">
        <v>704</v>
      </c>
      <c r="E171" s="1" t="s">
        <v>704</v>
      </c>
      <c r="F171" s="1" t="s">
        <v>703</v>
      </c>
      <c r="G171" s="1" t="s">
        <v>1091</v>
      </c>
      <c r="H171" s="1" t="s">
        <v>1265</v>
      </c>
      <c r="I171" s="1" t="s">
        <v>551</v>
      </c>
      <c r="J171" s="1" t="s">
        <v>697</v>
      </c>
      <c r="K171" s="5">
        <v>8495</v>
      </c>
      <c r="L171" s="6">
        <v>45190</v>
      </c>
      <c r="M171" s="6">
        <v>45291</v>
      </c>
      <c r="N171" s="1" t="s">
        <v>1369</v>
      </c>
    </row>
    <row r="172" spans="1:14" x14ac:dyDescent="0.25">
      <c r="A172" s="4">
        <v>168</v>
      </c>
      <c r="B172" s="2" t="str">
        <f>HYPERLINK("https://my.zakupivli.pro/remote/dispatcher/state_purchase_view/45361155", "UA-2023-09-21-013500-a")</f>
        <v>UA-2023-09-21-013500-a</v>
      </c>
      <c r="C172" s="2" t="str">
        <f>HYPERLINK("https://my.zakupivli.pro/remote/dispatcher/state_contracting_view/17625423", "UA-2023-09-21-013500-a-c1")</f>
        <v>UA-2023-09-21-013500-a-c1</v>
      </c>
      <c r="D172" s="1" t="s">
        <v>128</v>
      </c>
      <c r="E172" s="1" t="s">
        <v>128</v>
      </c>
      <c r="F172" s="1" t="s">
        <v>127</v>
      </c>
      <c r="G172" s="1" t="s">
        <v>1091</v>
      </c>
      <c r="H172" s="1" t="s">
        <v>1106</v>
      </c>
      <c r="I172" s="1" t="s">
        <v>158</v>
      </c>
      <c r="J172" s="1" t="s">
        <v>684</v>
      </c>
      <c r="K172" s="5">
        <v>5320</v>
      </c>
      <c r="L172" s="6">
        <v>45189</v>
      </c>
      <c r="M172" s="6">
        <v>45291</v>
      </c>
      <c r="N172" s="1" t="s">
        <v>1369</v>
      </c>
    </row>
    <row r="173" spans="1:14" x14ac:dyDescent="0.25">
      <c r="A173" s="4">
        <v>169</v>
      </c>
      <c r="B173" s="2" t="str">
        <f>HYPERLINK("https://my.zakupivli.pro/remote/dispatcher/state_purchase_view/43454621", "UA-2023-06-21-010236-a")</f>
        <v>UA-2023-06-21-010236-a</v>
      </c>
      <c r="C173" s="2" t="str">
        <f>HYPERLINK("https://my.zakupivli.pro/remote/dispatcher/state_contracting_view/16799288", "UA-2023-06-21-010236-a-c1")</f>
        <v>UA-2023-06-21-010236-a-c1</v>
      </c>
      <c r="D173" s="1" t="s">
        <v>222</v>
      </c>
      <c r="E173" s="1" t="s">
        <v>1381</v>
      </c>
      <c r="F173" s="1" t="s">
        <v>219</v>
      </c>
      <c r="G173" s="1" t="s">
        <v>1091</v>
      </c>
      <c r="H173" s="1" t="s">
        <v>1177</v>
      </c>
      <c r="I173" s="1" t="s">
        <v>498</v>
      </c>
      <c r="J173" s="1" t="s">
        <v>246</v>
      </c>
      <c r="K173" s="5">
        <v>9436.7999999999993</v>
      </c>
      <c r="L173" s="6">
        <v>45097</v>
      </c>
      <c r="M173" s="6">
        <v>45291</v>
      </c>
      <c r="N173" s="1" t="s">
        <v>1369</v>
      </c>
    </row>
    <row r="174" spans="1:14" x14ac:dyDescent="0.25">
      <c r="A174" s="4">
        <v>170</v>
      </c>
      <c r="B174" s="2" t="str">
        <f>HYPERLINK("https://my.zakupivli.pro/remote/dispatcher/state_purchase_view/40375959", "UA-2023-01-26-013115-a")</f>
        <v>UA-2023-01-26-013115-a</v>
      </c>
      <c r="C174" s="2" t="str">
        <f>HYPERLINK("https://my.zakupivli.pro/remote/dispatcher/state_contracting_view/15402254", "UA-2023-01-26-013115-a-b1")</f>
        <v>UA-2023-01-26-013115-a-b1</v>
      </c>
      <c r="D174" s="1" t="s">
        <v>831</v>
      </c>
      <c r="E174" s="1" t="s">
        <v>1194</v>
      </c>
      <c r="F174" s="1" t="s">
        <v>830</v>
      </c>
      <c r="G174" s="1" t="s">
        <v>1091</v>
      </c>
      <c r="H174" s="1" t="s">
        <v>1278</v>
      </c>
      <c r="I174" s="1" t="s">
        <v>649</v>
      </c>
      <c r="J174" s="1" t="s">
        <v>1140</v>
      </c>
      <c r="K174" s="5">
        <v>99900</v>
      </c>
      <c r="L174" s="6">
        <v>44950</v>
      </c>
      <c r="M174" s="6">
        <v>45291</v>
      </c>
      <c r="N174" s="1" t="s">
        <v>1369</v>
      </c>
    </row>
    <row r="175" spans="1:14" x14ac:dyDescent="0.25">
      <c r="A175" s="4">
        <v>171</v>
      </c>
      <c r="B175" s="2" t="str">
        <f>HYPERLINK("https://my.zakupivli.pro/remote/dispatcher/state_purchase_view/41309779", "UA-2023-03-09-003348-a")</f>
        <v>UA-2023-03-09-003348-a</v>
      </c>
      <c r="C175" s="2" t="str">
        <f>HYPERLINK("https://my.zakupivli.pro/remote/dispatcher/state_contracting_view/15838444", "UA-2023-03-09-003348-a-a1")</f>
        <v>UA-2023-03-09-003348-a-a1</v>
      </c>
      <c r="D175" s="1" t="s">
        <v>441</v>
      </c>
      <c r="E175" s="1" t="s">
        <v>1421</v>
      </c>
      <c r="F175" s="1" t="s">
        <v>440</v>
      </c>
      <c r="G175" s="1" t="s">
        <v>1091</v>
      </c>
      <c r="H175" s="1" t="s">
        <v>1177</v>
      </c>
      <c r="I175" s="1" t="s">
        <v>498</v>
      </c>
      <c r="J175" s="1" t="s">
        <v>43</v>
      </c>
      <c r="K175" s="5">
        <v>29028</v>
      </c>
      <c r="L175" s="6">
        <v>44993</v>
      </c>
      <c r="M175" s="6">
        <v>45291</v>
      </c>
      <c r="N175" s="1" t="s">
        <v>1369</v>
      </c>
    </row>
    <row r="176" spans="1:14" x14ac:dyDescent="0.25">
      <c r="A176" s="4">
        <v>172</v>
      </c>
      <c r="B176" s="2" t="str">
        <f>HYPERLINK("https://my.zakupivli.pro/remote/dispatcher/state_purchase_view/43644137", "UA-2023-06-29-009849-a")</f>
        <v>UA-2023-06-29-009849-a</v>
      </c>
      <c r="C176" s="2" t="str">
        <f>HYPERLINK("https://my.zakupivli.pro/remote/dispatcher/state_contracting_view/16888657", "UA-2023-06-29-009849-a-b1")</f>
        <v>UA-2023-06-29-009849-a-b1</v>
      </c>
      <c r="D176" s="1" t="s">
        <v>845</v>
      </c>
      <c r="E176" s="1" t="s">
        <v>1450</v>
      </c>
      <c r="F176" s="1" t="s">
        <v>840</v>
      </c>
      <c r="G176" s="1" t="s">
        <v>1091</v>
      </c>
      <c r="H176" s="1" t="s">
        <v>1275</v>
      </c>
      <c r="I176" s="1" t="s">
        <v>685</v>
      </c>
      <c r="J176" s="1" t="s">
        <v>874</v>
      </c>
      <c r="K176" s="5">
        <v>15000</v>
      </c>
      <c r="L176" s="6">
        <v>45105</v>
      </c>
      <c r="M176" s="6">
        <v>45291</v>
      </c>
      <c r="N176" s="1" t="s">
        <v>1369</v>
      </c>
    </row>
    <row r="177" spans="1:14" x14ac:dyDescent="0.25">
      <c r="A177" s="4">
        <v>173</v>
      </c>
      <c r="B177" s="2" t="str">
        <f>HYPERLINK("https://my.zakupivli.pro/remote/dispatcher/state_purchase_view/42349065", "UA-2023-05-03-012053-a")</f>
        <v>UA-2023-05-03-012053-a</v>
      </c>
      <c r="C177" s="2" t="str">
        <f>HYPERLINK("https://my.zakupivli.pro/remote/dispatcher/state_contracting_view/16288638", "UA-2023-05-03-012053-a-b1")</f>
        <v>UA-2023-05-03-012053-a-b1</v>
      </c>
      <c r="D177" s="1" t="s">
        <v>14</v>
      </c>
      <c r="E177" s="1" t="s">
        <v>1394</v>
      </c>
      <c r="F177" s="1" t="s">
        <v>13</v>
      </c>
      <c r="G177" s="1" t="s">
        <v>1091</v>
      </c>
      <c r="H177" s="1" t="s">
        <v>1099</v>
      </c>
      <c r="I177" s="1" t="s">
        <v>343</v>
      </c>
      <c r="J177" s="1" t="s">
        <v>142</v>
      </c>
      <c r="K177" s="5">
        <v>40400</v>
      </c>
      <c r="L177" s="6">
        <v>45048</v>
      </c>
      <c r="M177" s="6">
        <v>45291</v>
      </c>
      <c r="N177" s="1" t="s">
        <v>1369</v>
      </c>
    </row>
    <row r="178" spans="1:14" x14ac:dyDescent="0.25">
      <c r="A178" s="4">
        <v>174</v>
      </c>
      <c r="B178" s="2" t="str">
        <f>HYPERLINK("https://my.zakupivli.pro/remote/dispatcher/state_purchase_view/42955124", "UA-2023-05-31-006759-a")</f>
        <v>UA-2023-05-31-006759-a</v>
      </c>
      <c r="C178" s="2" t="str">
        <f>HYPERLINK("https://my.zakupivli.pro/remote/dispatcher/state_contracting_view/16569781", "UA-2023-05-31-006759-a-c1")</f>
        <v>UA-2023-05-31-006759-a-c1</v>
      </c>
      <c r="D178" s="1" t="s">
        <v>339</v>
      </c>
      <c r="E178" s="1" t="s">
        <v>1185</v>
      </c>
      <c r="F178" s="1" t="s">
        <v>337</v>
      </c>
      <c r="G178" s="1" t="s">
        <v>1091</v>
      </c>
      <c r="H178" s="1" t="s">
        <v>1293</v>
      </c>
      <c r="I178" s="1" t="s">
        <v>654</v>
      </c>
      <c r="J178" s="1" t="s">
        <v>206</v>
      </c>
      <c r="K178" s="5">
        <v>32046.48</v>
      </c>
      <c r="L178" s="6">
        <v>45076</v>
      </c>
      <c r="M178" s="6">
        <v>45291</v>
      </c>
      <c r="N178" s="1" t="s">
        <v>1369</v>
      </c>
    </row>
    <row r="179" spans="1:14" x14ac:dyDescent="0.25">
      <c r="A179" s="4">
        <v>175</v>
      </c>
      <c r="B179" s="2" t="str">
        <f>HYPERLINK("https://my.zakupivli.pro/remote/dispatcher/state_purchase_view/43118495", "UA-2023-06-07-009487-a")</f>
        <v>UA-2023-06-07-009487-a</v>
      </c>
      <c r="C179" s="2" t="str">
        <f>HYPERLINK("https://my.zakupivli.pro/remote/dispatcher/state_contracting_view/16640348", "UA-2023-06-07-009487-a-c1")</f>
        <v>UA-2023-06-07-009487-a-c1</v>
      </c>
      <c r="D179" s="1" t="s">
        <v>406</v>
      </c>
      <c r="E179" s="1" t="s">
        <v>1389</v>
      </c>
      <c r="F179" s="1" t="s">
        <v>407</v>
      </c>
      <c r="G179" s="1" t="s">
        <v>1091</v>
      </c>
      <c r="H179" s="1" t="s">
        <v>1339</v>
      </c>
      <c r="I179" s="1" t="s">
        <v>249</v>
      </c>
      <c r="J179" s="1" t="s">
        <v>214</v>
      </c>
      <c r="K179" s="5">
        <v>14430</v>
      </c>
      <c r="L179" s="6">
        <v>45084</v>
      </c>
      <c r="M179" s="6">
        <v>45291</v>
      </c>
      <c r="N179" s="1" t="s">
        <v>1369</v>
      </c>
    </row>
    <row r="180" spans="1:14" x14ac:dyDescent="0.25">
      <c r="A180" s="4">
        <v>176</v>
      </c>
      <c r="B180" s="2" t="str">
        <f>HYPERLINK("https://my.zakupivli.pro/remote/dispatcher/state_purchase_view/44714642", "UA-2023-08-23-010565-a")</f>
        <v>UA-2023-08-23-010565-a</v>
      </c>
      <c r="C180" s="2" t="str">
        <f>HYPERLINK("https://my.zakupivli.pro/remote/dispatcher/state_contracting_view/17349825", "UA-2023-08-23-010565-a-c1")</f>
        <v>UA-2023-08-23-010565-a-c1</v>
      </c>
      <c r="D180" s="1" t="s">
        <v>610</v>
      </c>
      <c r="E180" s="1" t="s">
        <v>610</v>
      </c>
      <c r="F180" s="1" t="s">
        <v>607</v>
      </c>
      <c r="G180" s="1" t="s">
        <v>1091</v>
      </c>
      <c r="H180" s="1" t="s">
        <v>1177</v>
      </c>
      <c r="I180" s="1" t="s">
        <v>498</v>
      </c>
      <c r="J180" s="1" t="s">
        <v>547</v>
      </c>
      <c r="K180" s="5">
        <v>3264</v>
      </c>
      <c r="L180" s="6">
        <v>45161</v>
      </c>
      <c r="M180" s="6">
        <v>45291</v>
      </c>
      <c r="N180" s="1" t="s">
        <v>1369</v>
      </c>
    </row>
    <row r="181" spans="1:14" x14ac:dyDescent="0.25">
      <c r="A181" s="4">
        <v>177</v>
      </c>
      <c r="B181" s="2" t="str">
        <f>HYPERLINK("https://my.zakupivli.pro/remote/dispatcher/state_purchase_view/44711888", "UA-2023-08-23-009326-a")</f>
        <v>UA-2023-08-23-009326-a</v>
      </c>
      <c r="C181" s="2" t="str">
        <f>HYPERLINK("https://my.zakupivli.pro/remote/dispatcher/state_contracting_view/17348968", "UA-2023-08-23-009326-a-c1")</f>
        <v>UA-2023-08-23-009326-a-c1</v>
      </c>
      <c r="D181" s="1" t="s">
        <v>104</v>
      </c>
      <c r="E181" s="1" t="s">
        <v>108</v>
      </c>
      <c r="F181" s="1" t="s">
        <v>106</v>
      </c>
      <c r="G181" s="1" t="s">
        <v>1091</v>
      </c>
      <c r="H181" s="1" t="s">
        <v>1177</v>
      </c>
      <c r="I181" s="1" t="s">
        <v>498</v>
      </c>
      <c r="J181" s="1" t="s">
        <v>538</v>
      </c>
      <c r="K181" s="5">
        <v>26904</v>
      </c>
      <c r="L181" s="6">
        <v>45161</v>
      </c>
      <c r="M181" s="6">
        <v>45291</v>
      </c>
      <c r="N181" s="1" t="s">
        <v>1369</v>
      </c>
    </row>
    <row r="182" spans="1:14" x14ac:dyDescent="0.25">
      <c r="A182" s="4">
        <v>178</v>
      </c>
      <c r="B182" s="2" t="str">
        <f>HYPERLINK("https://my.zakupivli.pro/remote/dispatcher/state_purchase_view/43800382", "UA-2023-07-07-009336-a")</f>
        <v>UA-2023-07-07-009336-a</v>
      </c>
      <c r="C182" s="2" t="str">
        <f>HYPERLINK("https://my.zakupivli.pro/remote/dispatcher/state_contracting_view/16956129", "UA-2023-07-07-009336-a-b1")</f>
        <v>UA-2023-07-07-009336-a-b1</v>
      </c>
      <c r="D182" s="1" t="s">
        <v>920</v>
      </c>
      <c r="E182" s="1" t="s">
        <v>1202</v>
      </c>
      <c r="F182" s="1" t="s">
        <v>922</v>
      </c>
      <c r="G182" s="1" t="s">
        <v>1091</v>
      </c>
      <c r="H182" s="1" t="s">
        <v>1135</v>
      </c>
      <c r="I182" s="1" t="s">
        <v>244</v>
      </c>
      <c r="J182" s="1" t="s">
        <v>8</v>
      </c>
      <c r="K182" s="5">
        <v>45000</v>
      </c>
      <c r="L182" s="6">
        <v>45111</v>
      </c>
      <c r="M182" s="6">
        <v>45291</v>
      </c>
      <c r="N182" s="1" t="s">
        <v>1369</v>
      </c>
    </row>
    <row r="183" spans="1:14" x14ac:dyDescent="0.25">
      <c r="A183" s="4">
        <v>179</v>
      </c>
      <c r="B183" s="2" t="str">
        <f>HYPERLINK("https://my.zakupivli.pro/remote/dispatcher/state_purchase_view/43827860", "UA-2023-07-10-008529-a")</f>
        <v>UA-2023-07-10-008529-a</v>
      </c>
      <c r="C183" s="2" t="str">
        <f>HYPERLINK("https://my.zakupivli.pro/remote/dispatcher/state_contracting_view/16968206", "UA-2023-07-10-008529-a-a1")</f>
        <v>UA-2023-07-10-008529-a-a1</v>
      </c>
      <c r="D183" s="1" t="s">
        <v>965</v>
      </c>
      <c r="E183" s="1" t="s">
        <v>1469</v>
      </c>
      <c r="F183" s="1" t="s">
        <v>964</v>
      </c>
      <c r="G183" s="1" t="s">
        <v>1091</v>
      </c>
      <c r="H183" s="1" t="s">
        <v>1181</v>
      </c>
      <c r="I183" s="1" t="s">
        <v>317</v>
      </c>
      <c r="J183" s="1" t="s">
        <v>288</v>
      </c>
      <c r="K183" s="5">
        <v>37640</v>
      </c>
      <c r="L183" s="6">
        <v>45112</v>
      </c>
      <c r="M183" s="6">
        <v>45291</v>
      </c>
      <c r="N183" s="1" t="s">
        <v>1369</v>
      </c>
    </row>
    <row r="184" spans="1:14" x14ac:dyDescent="0.25">
      <c r="A184" s="4">
        <v>180</v>
      </c>
      <c r="B184" s="2" t="str">
        <f>HYPERLINK("https://my.zakupivli.pro/remote/dispatcher/state_purchase_view/43492841", "UA-2023-06-22-011934-a")</f>
        <v>UA-2023-06-22-011934-a</v>
      </c>
      <c r="C184" s="2" t="str">
        <f>HYPERLINK("https://my.zakupivli.pro/remote/dispatcher/state_contracting_view/16991987", "UA-2023-06-22-011934-a-b1")</f>
        <v>UA-2023-06-22-011934-a-b1</v>
      </c>
      <c r="D184" s="1" t="s">
        <v>817</v>
      </c>
      <c r="E184" s="1" t="s">
        <v>1487</v>
      </c>
      <c r="F184" s="1" t="s">
        <v>818</v>
      </c>
      <c r="G184" s="1" t="s">
        <v>1056</v>
      </c>
      <c r="H184" s="1" t="s">
        <v>1311</v>
      </c>
      <c r="I184" s="1" t="s">
        <v>73</v>
      </c>
      <c r="J184" s="1" t="s">
        <v>314</v>
      </c>
      <c r="K184" s="5">
        <v>595200</v>
      </c>
      <c r="L184" s="6">
        <v>45118</v>
      </c>
      <c r="M184" s="6">
        <v>45291</v>
      </c>
      <c r="N184" s="1" t="s">
        <v>1399</v>
      </c>
    </row>
    <row r="185" spans="1:14" x14ac:dyDescent="0.25">
      <c r="A185" s="4">
        <v>181</v>
      </c>
      <c r="B185" s="2" t="str">
        <f>HYPERLINK("https://my.zakupivli.pro/remote/dispatcher/state_purchase_view/44560230", "UA-2023-08-16-006222-a")</f>
        <v>UA-2023-08-16-006222-a</v>
      </c>
      <c r="C185" s="2" t="str">
        <f>HYPERLINK("https://my.zakupivli.pro/remote/dispatcher/state_contracting_view/17283868", "UA-2023-08-16-006222-a-c1")</f>
        <v>UA-2023-08-16-006222-a-c1</v>
      </c>
      <c r="D185" s="1" t="s">
        <v>766</v>
      </c>
      <c r="E185" s="1" t="s">
        <v>766</v>
      </c>
      <c r="F185" s="1" t="s">
        <v>765</v>
      </c>
      <c r="G185" s="1" t="s">
        <v>1091</v>
      </c>
      <c r="H185" s="1" t="s">
        <v>1261</v>
      </c>
      <c r="I185" s="1" t="s">
        <v>774</v>
      </c>
      <c r="J185" s="1" t="s">
        <v>527</v>
      </c>
      <c r="K185" s="5">
        <v>24000</v>
      </c>
      <c r="L185" s="6">
        <v>45154</v>
      </c>
      <c r="M185" s="6">
        <v>45291</v>
      </c>
      <c r="N185" s="1" t="s">
        <v>1369</v>
      </c>
    </row>
    <row r="186" spans="1:14" x14ac:dyDescent="0.25">
      <c r="A186" s="4">
        <v>182</v>
      </c>
      <c r="B186" s="2" t="str">
        <f>HYPERLINK("https://my.zakupivli.pro/remote/dispatcher/state_purchase_view/42848092", "UA-2023-05-25-010909-a")</f>
        <v>UA-2023-05-25-010909-a</v>
      </c>
      <c r="C186" s="2" t="str">
        <f>HYPERLINK("https://my.zakupivli.pro/remote/dispatcher/state_contracting_view/16799879", "UA-2023-05-25-010909-a-b1")</f>
        <v>UA-2023-05-25-010909-a-b1</v>
      </c>
      <c r="D186" s="1" t="s">
        <v>26</v>
      </c>
      <c r="E186" s="1" t="s">
        <v>1161</v>
      </c>
      <c r="F186" s="1" t="s">
        <v>27</v>
      </c>
      <c r="G186" s="1" t="s">
        <v>1056</v>
      </c>
      <c r="H186" s="1" t="s">
        <v>1270</v>
      </c>
      <c r="I186" s="1" t="s">
        <v>550</v>
      </c>
      <c r="J186" s="1" t="s">
        <v>248</v>
      </c>
      <c r="K186" s="5">
        <v>199668</v>
      </c>
      <c r="L186" s="6">
        <v>45097</v>
      </c>
      <c r="M186" s="6">
        <v>45291</v>
      </c>
      <c r="N186" s="1" t="s">
        <v>1399</v>
      </c>
    </row>
    <row r="187" spans="1:14" x14ac:dyDescent="0.25">
      <c r="A187" s="4">
        <v>183</v>
      </c>
      <c r="B187" s="2" t="str">
        <f>HYPERLINK("https://my.zakupivli.pro/remote/dispatcher/state_purchase_view/44533921", "UA-2023-08-15-010476-a")</f>
        <v>UA-2023-08-15-010476-a</v>
      </c>
      <c r="C187" s="2" t="str">
        <f>HYPERLINK("https://my.zakupivli.pro/remote/dispatcher/state_contracting_view/17272596", "UA-2023-08-15-010476-a-b1")</f>
        <v>UA-2023-08-15-010476-a-b1</v>
      </c>
      <c r="D187" s="1" t="s">
        <v>912</v>
      </c>
      <c r="E187" s="1" t="s">
        <v>912</v>
      </c>
      <c r="F187" s="1" t="s">
        <v>911</v>
      </c>
      <c r="G187" s="1" t="s">
        <v>1091</v>
      </c>
      <c r="H187" s="1" t="s">
        <v>1180</v>
      </c>
      <c r="I187" s="1" t="s">
        <v>770</v>
      </c>
      <c r="J187" s="1" t="s">
        <v>523</v>
      </c>
      <c r="K187" s="5">
        <v>16357</v>
      </c>
      <c r="L187" s="6">
        <v>45153</v>
      </c>
      <c r="M187" s="6">
        <v>45291</v>
      </c>
      <c r="N187" s="1" t="s">
        <v>1369</v>
      </c>
    </row>
    <row r="188" spans="1:14" x14ac:dyDescent="0.25">
      <c r="A188" s="4">
        <v>184</v>
      </c>
      <c r="B188" s="2" t="str">
        <f>HYPERLINK("https://my.zakupivli.pro/remote/dispatcher/state_purchase_view/42440318", "UA-2023-05-08-011048-a")</f>
        <v>UA-2023-05-08-011048-a</v>
      </c>
      <c r="C188" s="2" t="str">
        <f>HYPERLINK("https://my.zakupivli.pro/remote/dispatcher/state_contracting_view/16577748", "UA-2023-05-08-011048-a-a1")</f>
        <v>UA-2023-05-08-011048-a-a1</v>
      </c>
      <c r="D188" s="1" t="s">
        <v>453</v>
      </c>
      <c r="E188" s="1" t="s">
        <v>1367</v>
      </c>
      <c r="F188" s="1" t="s">
        <v>454</v>
      </c>
      <c r="G188" s="1" t="s">
        <v>1056</v>
      </c>
      <c r="H188" s="1" t="s">
        <v>1255</v>
      </c>
      <c r="I188" s="1" t="s">
        <v>504</v>
      </c>
      <c r="J188" s="1" t="s">
        <v>208</v>
      </c>
      <c r="K188" s="5">
        <v>1800000</v>
      </c>
      <c r="L188" s="6">
        <v>45077</v>
      </c>
      <c r="M188" s="6">
        <v>45291</v>
      </c>
      <c r="N188" s="1" t="s">
        <v>1399</v>
      </c>
    </row>
    <row r="189" spans="1:14" x14ac:dyDescent="0.25">
      <c r="A189" s="4">
        <v>185</v>
      </c>
      <c r="B189" s="2" t="str">
        <f>HYPERLINK("https://my.zakupivli.pro/remote/dispatcher/state_purchase_view/43962737", "UA-2023-07-17-007896-a")</f>
        <v>UA-2023-07-17-007896-a</v>
      </c>
      <c r="C189" s="2" t="str">
        <f>HYPERLINK("https://my.zakupivli.pro/remote/dispatcher/state_contracting_view/17225839", "UA-2023-07-17-007896-a-b1")</f>
        <v>UA-2023-07-17-007896-a-b1</v>
      </c>
      <c r="D189" s="1" t="s">
        <v>470</v>
      </c>
      <c r="E189" s="1" t="s">
        <v>1233</v>
      </c>
      <c r="F189" s="1" t="s">
        <v>469</v>
      </c>
      <c r="G189" s="1" t="s">
        <v>1056</v>
      </c>
      <c r="H189" s="1" t="s">
        <v>1059</v>
      </c>
      <c r="I189" s="1" t="s">
        <v>452</v>
      </c>
      <c r="J189" s="1" t="s">
        <v>508</v>
      </c>
      <c r="K189" s="5">
        <v>399090</v>
      </c>
      <c r="L189" s="6">
        <v>45146</v>
      </c>
      <c r="M189" s="6">
        <v>45291</v>
      </c>
      <c r="N189" s="1" t="s">
        <v>1399</v>
      </c>
    </row>
    <row r="190" spans="1:14" x14ac:dyDescent="0.25">
      <c r="A190" s="4">
        <v>186</v>
      </c>
      <c r="B190" s="2" t="str">
        <f>HYPERLINK("https://my.zakupivli.pro/remote/dispatcher/state_purchase_view/46737389", "UA-2023-11-16-016208-a")</f>
        <v>UA-2023-11-16-016208-a</v>
      </c>
      <c r="C190" s="2" t="str">
        <f>HYPERLINK("https://my.zakupivli.pro/remote/dispatcher/state_contracting_view/18292207", "UA-2023-11-16-016208-a-a1")</f>
        <v>UA-2023-11-16-016208-a-a1</v>
      </c>
      <c r="D190" s="1" t="s">
        <v>22</v>
      </c>
      <c r="E190" s="1" t="s">
        <v>1047</v>
      </c>
      <c r="F190" s="1" t="s">
        <v>21</v>
      </c>
      <c r="G190" s="1" t="s">
        <v>1092</v>
      </c>
      <c r="H190" s="1" t="s">
        <v>1096</v>
      </c>
      <c r="I190" s="1" t="s">
        <v>429</v>
      </c>
      <c r="J190" s="1" t="s">
        <v>1226</v>
      </c>
      <c r="K190" s="5">
        <v>3200020</v>
      </c>
      <c r="L190" s="6">
        <v>45253</v>
      </c>
      <c r="M190" s="6">
        <v>45291</v>
      </c>
      <c r="N190" s="1" t="s">
        <v>1399</v>
      </c>
    </row>
    <row r="191" spans="1:14" x14ac:dyDescent="0.25">
      <c r="A191" s="4">
        <v>187</v>
      </c>
      <c r="B191" s="2" t="str">
        <f>HYPERLINK("https://my.zakupivli.pro/remote/dispatcher/state_purchase_view/40221689", "UA-2023-01-20-012538-a")</f>
        <v>UA-2023-01-20-012538-a</v>
      </c>
      <c r="C191" s="2" t="str">
        <f>HYPERLINK("https://my.zakupivli.pro/remote/dispatcher/state_contracting_view/15332364", "UA-2023-01-20-012538-a-a1")</f>
        <v>UA-2023-01-20-012538-a-a1</v>
      </c>
      <c r="D191" s="1" t="s">
        <v>1004</v>
      </c>
      <c r="E191" s="1" t="s">
        <v>1189</v>
      </c>
      <c r="F191" s="1" t="s">
        <v>1003</v>
      </c>
      <c r="G191" s="1" t="s">
        <v>1091</v>
      </c>
      <c r="H191" s="1" t="s">
        <v>1101</v>
      </c>
      <c r="I191" s="1" t="s">
        <v>424</v>
      </c>
      <c r="J191" s="1" t="s">
        <v>1120</v>
      </c>
      <c r="K191" s="5">
        <v>48000</v>
      </c>
      <c r="L191" s="6">
        <v>44945</v>
      </c>
      <c r="M191" s="6">
        <v>45291</v>
      </c>
      <c r="N191" s="1" t="s">
        <v>1369</v>
      </c>
    </row>
    <row r="192" spans="1:14" x14ac:dyDescent="0.25">
      <c r="A192" s="4">
        <v>188</v>
      </c>
      <c r="B192" s="2" t="str">
        <f>HYPERLINK("https://my.zakupivli.pro/remote/dispatcher/state_purchase_view/40376456", "UA-2023-01-26-013316-a")</f>
        <v>UA-2023-01-26-013316-a</v>
      </c>
      <c r="C192" s="2" t="str">
        <f>HYPERLINK("https://my.zakupivli.pro/remote/dispatcher/state_contracting_view/15402822", "UA-2023-01-26-013316-a-a1")</f>
        <v>UA-2023-01-26-013316-a-a1</v>
      </c>
      <c r="D192" s="1" t="s">
        <v>982</v>
      </c>
      <c r="E192" s="1" t="s">
        <v>1191</v>
      </c>
      <c r="F192" s="1" t="s">
        <v>985</v>
      </c>
      <c r="G192" s="1" t="s">
        <v>1091</v>
      </c>
      <c r="H192" s="1" t="s">
        <v>1303</v>
      </c>
      <c r="I192" s="1" t="s">
        <v>480</v>
      </c>
      <c r="J192" s="1" t="s">
        <v>169</v>
      </c>
      <c r="K192" s="5">
        <v>3200</v>
      </c>
      <c r="L192" s="6">
        <v>44952</v>
      </c>
      <c r="M192" s="6">
        <v>45291</v>
      </c>
      <c r="N192" s="1" t="s">
        <v>1369</v>
      </c>
    </row>
    <row r="193" spans="1:14" x14ac:dyDescent="0.25">
      <c r="A193" s="4">
        <v>189</v>
      </c>
      <c r="B193" s="2" t="str">
        <f>HYPERLINK("https://my.zakupivli.pro/remote/dispatcher/state_purchase_view/39929180", "UA-2023-01-04-004706-a")</f>
        <v>UA-2023-01-04-004706-a</v>
      </c>
      <c r="C193" s="2" t="str">
        <f>HYPERLINK("https://my.zakupivli.pro/remote/dispatcher/state_contracting_view/15204200", "UA-2023-01-04-004706-a-a1")</f>
        <v>UA-2023-01-04-004706-a-a1</v>
      </c>
      <c r="D193" s="1" t="s">
        <v>834</v>
      </c>
      <c r="E193" s="1" t="s">
        <v>1314</v>
      </c>
      <c r="F193" s="1" t="s">
        <v>832</v>
      </c>
      <c r="G193" s="1" t="s">
        <v>1091</v>
      </c>
      <c r="H193" s="1" t="s">
        <v>1268</v>
      </c>
      <c r="I193" s="1" t="s">
        <v>644</v>
      </c>
      <c r="J193" s="1" t="s">
        <v>635</v>
      </c>
      <c r="K193" s="5">
        <v>32400</v>
      </c>
      <c r="L193" s="6">
        <v>44929</v>
      </c>
      <c r="M193" s="6">
        <v>45291</v>
      </c>
      <c r="N193" s="1" t="s">
        <v>1369</v>
      </c>
    </row>
    <row r="194" spans="1:14" x14ac:dyDescent="0.25">
      <c r="A194" s="4">
        <v>190</v>
      </c>
      <c r="B194" s="2" t="str">
        <f>HYPERLINK("https://my.zakupivli.pro/remote/dispatcher/state_purchase_view/40013658", "UA-2023-01-12-001968-a")</f>
        <v>UA-2023-01-12-001968-a</v>
      </c>
      <c r="C194" s="2" t="str">
        <f>HYPERLINK("https://my.zakupivli.pro/remote/dispatcher/state_contracting_view/15240706", "UA-2023-01-12-001968-a-b1")</f>
        <v>UA-2023-01-12-001968-a-b1</v>
      </c>
      <c r="D194" s="1" t="s">
        <v>82</v>
      </c>
      <c r="E194" s="1" t="s">
        <v>1416</v>
      </c>
      <c r="F194" s="1" t="s">
        <v>80</v>
      </c>
      <c r="G194" s="1" t="s">
        <v>1091</v>
      </c>
      <c r="H194" s="1" t="s">
        <v>1299</v>
      </c>
      <c r="I194" s="1" t="s">
        <v>445</v>
      </c>
      <c r="J194" s="1" t="s">
        <v>322</v>
      </c>
      <c r="K194" s="5">
        <v>87880.51</v>
      </c>
      <c r="L194" s="6">
        <v>44937</v>
      </c>
      <c r="M194" s="6">
        <v>45291</v>
      </c>
      <c r="N194" s="1" t="s">
        <v>1369</v>
      </c>
    </row>
    <row r="195" spans="1:14" x14ac:dyDescent="0.25">
      <c r="A195" s="4">
        <v>191</v>
      </c>
      <c r="B195" s="2" t="str">
        <f>HYPERLINK("https://my.zakupivli.pro/remote/dispatcher/state_purchase_view/47125961", "UA-2023-11-30-003947-a")</f>
        <v>UA-2023-11-30-003947-a</v>
      </c>
      <c r="C195" s="2" t="str">
        <f>HYPERLINK("https://my.zakupivli.pro/remote/dispatcher/state_contracting_view/18375229", "UA-2023-11-30-003947-a-a1")</f>
        <v>UA-2023-11-30-003947-a-a1</v>
      </c>
      <c r="D195" s="1" t="s">
        <v>448</v>
      </c>
      <c r="E195" s="1" t="s">
        <v>450</v>
      </c>
      <c r="F195" s="1" t="s">
        <v>449</v>
      </c>
      <c r="G195" s="1" t="s">
        <v>1091</v>
      </c>
      <c r="H195" s="1" t="s">
        <v>1177</v>
      </c>
      <c r="I195" s="1" t="s">
        <v>498</v>
      </c>
      <c r="J195" s="1" t="s">
        <v>847</v>
      </c>
      <c r="K195" s="5">
        <v>7260</v>
      </c>
      <c r="L195" s="6">
        <v>45260</v>
      </c>
      <c r="M195" s="6">
        <v>45291</v>
      </c>
      <c r="N195" s="1" t="s">
        <v>1369</v>
      </c>
    </row>
    <row r="196" spans="1:14" x14ac:dyDescent="0.25">
      <c r="A196" s="4">
        <v>192</v>
      </c>
      <c r="B196" s="2" t="str">
        <f>HYPERLINK("https://my.zakupivli.pro/remote/dispatcher/state_purchase_view/46952620", "UA-2023-11-24-000719-a")</f>
        <v>UA-2023-11-24-000719-a</v>
      </c>
      <c r="C196" s="2" t="str">
        <f>HYPERLINK("https://my.zakupivli.pro/remote/dispatcher/state_contracting_view/18303120", "UA-2023-11-24-000719-a-c1")</f>
        <v>UA-2023-11-24-000719-a-c1</v>
      </c>
      <c r="D196" s="1" t="s">
        <v>767</v>
      </c>
      <c r="E196" s="1" t="s">
        <v>767</v>
      </c>
      <c r="F196" s="1" t="s">
        <v>765</v>
      </c>
      <c r="G196" s="1" t="s">
        <v>1091</v>
      </c>
      <c r="H196" s="1" t="s">
        <v>1345</v>
      </c>
      <c r="I196" s="1" t="s">
        <v>362</v>
      </c>
      <c r="J196" s="1" t="s">
        <v>826</v>
      </c>
      <c r="K196" s="5">
        <v>46116</v>
      </c>
      <c r="L196" s="6">
        <v>45252</v>
      </c>
      <c r="M196" s="6">
        <v>45291</v>
      </c>
      <c r="N196" s="1" t="s">
        <v>1369</v>
      </c>
    </row>
    <row r="197" spans="1:14" x14ac:dyDescent="0.25">
      <c r="A197" s="4">
        <v>193</v>
      </c>
      <c r="B197" s="2" t="str">
        <f>HYPERLINK("https://my.zakupivli.pro/remote/dispatcher/state_purchase_view/42880512", "UA-2023-05-26-011887-a")</f>
        <v>UA-2023-05-26-011887-a</v>
      </c>
      <c r="C197" s="2" t="str">
        <f>HYPERLINK("https://my.zakupivli.pro/remote/dispatcher/state_contracting_view/16534467", "UA-2023-05-26-011887-a-c1")</f>
        <v>UA-2023-05-26-011887-a-c1</v>
      </c>
      <c r="D197" s="1" t="s">
        <v>986</v>
      </c>
      <c r="E197" s="1" t="s">
        <v>1459</v>
      </c>
      <c r="F197" s="1" t="s">
        <v>987</v>
      </c>
      <c r="G197" s="1" t="s">
        <v>1091</v>
      </c>
      <c r="H197" s="1" t="s">
        <v>1136</v>
      </c>
      <c r="I197" s="1" t="s">
        <v>4</v>
      </c>
      <c r="J197" s="1" t="s">
        <v>205</v>
      </c>
      <c r="K197" s="5">
        <v>2500</v>
      </c>
      <c r="L197" s="6">
        <v>45072</v>
      </c>
      <c r="M197" s="6">
        <v>45291</v>
      </c>
      <c r="N197" s="1" t="s">
        <v>1369</v>
      </c>
    </row>
    <row r="198" spans="1:14" x14ac:dyDescent="0.25">
      <c r="A198" s="4">
        <v>194</v>
      </c>
      <c r="B198" s="2" t="str">
        <f>HYPERLINK("https://my.zakupivli.pro/remote/dispatcher/state_purchase_view/41034385", "UA-2023-02-22-011917-a")</f>
        <v>UA-2023-02-22-011917-a</v>
      </c>
      <c r="C198" s="2" t="str">
        <f>HYPERLINK("https://my.zakupivli.pro/remote/dispatcher/state_contracting_view/15713055", "UA-2023-02-22-011917-a-a1")</f>
        <v>UA-2023-02-22-011917-a-a1</v>
      </c>
      <c r="D198" s="1" t="s">
        <v>604</v>
      </c>
      <c r="E198" s="1" t="s">
        <v>1383</v>
      </c>
      <c r="F198" s="1" t="s">
        <v>603</v>
      </c>
      <c r="G198" s="1" t="s">
        <v>1091</v>
      </c>
      <c r="H198" s="1" t="s">
        <v>1284</v>
      </c>
      <c r="I198" s="1" t="s">
        <v>686</v>
      </c>
      <c r="J198" s="1" t="s">
        <v>1017</v>
      </c>
      <c r="K198" s="5">
        <v>6700</v>
      </c>
      <c r="L198" s="6">
        <v>44978</v>
      </c>
      <c r="M198" s="6">
        <v>45291</v>
      </c>
      <c r="N198" s="1" t="s">
        <v>1369</v>
      </c>
    </row>
    <row r="199" spans="1:14" x14ac:dyDescent="0.25">
      <c r="A199" s="4">
        <v>195</v>
      </c>
      <c r="B199" s="2" t="str">
        <f>HYPERLINK("https://my.zakupivli.pro/remote/dispatcher/state_purchase_view/46289392", "UA-2023-10-31-007628-a")</f>
        <v>UA-2023-10-31-007628-a</v>
      </c>
      <c r="C199" s="2" t="str">
        <f>HYPERLINK("https://my.zakupivli.pro/remote/dispatcher/state_contracting_view/18022172", "UA-2023-10-31-007628-a-a1")</f>
        <v>UA-2023-10-31-007628-a-a1</v>
      </c>
      <c r="D199" s="1" t="s">
        <v>622</v>
      </c>
      <c r="E199" s="1" t="s">
        <v>622</v>
      </c>
      <c r="F199" s="1" t="s">
        <v>620</v>
      </c>
      <c r="G199" s="1" t="s">
        <v>1091</v>
      </c>
      <c r="H199" s="1" t="s">
        <v>1280</v>
      </c>
      <c r="I199" s="1" t="s">
        <v>233</v>
      </c>
      <c r="J199" s="1" t="s">
        <v>804</v>
      </c>
      <c r="K199" s="5">
        <v>26964</v>
      </c>
      <c r="L199" s="6">
        <v>45226</v>
      </c>
      <c r="M199" s="6">
        <v>45291</v>
      </c>
      <c r="N199" s="1" t="s">
        <v>1369</v>
      </c>
    </row>
    <row r="200" spans="1:14" x14ac:dyDescent="0.25">
      <c r="A200" s="4">
        <v>196</v>
      </c>
      <c r="B200" s="2" t="str">
        <f>HYPERLINK("https://my.zakupivli.pro/remote/dispatcher/state_purchase_view/45833375", "UA-2023-10-12-007808-a")</f>
        <v>UA-2023-10-12-007808-a</v>
      </c>
      <c r="C200" s="2" t="str">
        <f>HYPERLINK("https://my.zakupivli.pro/remote/dispatcher/state_contracting_view/17826097", "UA-2023-10-12-007808-a-c1")</f>
        <v>UA-2023-10-12-007808-a-c1</v>
      </c>
      <c r="D200" s="1" t="s">
        <v>849</v>
      </c>
      <c r="E200" s="1" t="s">
        <v>852</v>
      </c>
      <c r="F200" s="1" t="s">
        <v>851</v>
      </c>
      <c r="G200" s="1" t="s">
        <v>1091</v>
      </c>
      <c r="H200" s="1" t="s">
        <v>1291</v>
      </c>
      <c r="I200" s="1" t="s">
        <v>655</v>
      </c>
      <c r="J200" s="1" t="s">
        <v>793</v>
      </c>
      <c r="K200" s="5">
        <v>8719</v>
      </c>
      <c r="L200" s="6">
        <v>45211</v>
      </c>
      <c r="M200" s="6">
        <v>45291</v>
      </c>
      <c r="N200" s="1" t="s">
        <v>1369</v>
      </c>
    </row>
    <row r="201" spans="1:14" x14ac:dyDescent="0.25">
      <c r="A201" s="4">
        <v>197</v>
      </c>
      <c r="B201" s="2" t="str">
        <f>HYPERLINK("https://my.zakupivli.pro/remote/dispatcher/state_purchase_view/45905069", "UA-2023-10-16-008232-a")</f>
        <v>UA-2023-10-16-008232-a</v>
      </c>
      <c r="C201" s="2" t="str">
        <f>HYPERLINK("https://my.zakupivli.pro/remote/dispatcher/state_contracting_view/18156766", "UA-2023-10-16-008232-a-b1")</f>
        <v>UA-2023-10-16-008232-a-b1</v>
      </c>
      <c r="D201" s="1" t="s">
        <v>404</v>
      </c>
      <c r="E201" s="1" t="s">
        <v>408</v>
      </c>
      <c r="F201" s="1" t="s">
        <v>407</v>
      </c>
      <c r="G201" s="1" t="s">
        <v>1056</v>
      </c>
      <c r="H201" s="1" t="s">
        <v>1098</v>
      </c>
      <c r="I201" s="1" t="s">
        <v>170</v>
      </c>
      <c r="J201" s="1" t="s">
        <v>810</v>
      </c>
      <c r="K201" s="5">
        <v>454900</v>
      </c>
      <c r="L201" s="6">
        <v>45243</v>
      </c>
      <c r="M201" s="6">
        <v>45291</v>
      </c>
      <c r="N201" s="1" t="s">
        <v>1399</v>
      </c>
    </row>
    <row r="202" spans="1:14" x14ac:dyDescent="0.25">
      <c r="A202" s="4">
        <v>198</v>
      </c>
      <c r="B202" s="2" t="str">
        <f>HYPERLINK("https://my.zakupivli.pro/remote/dispatcher/state_purchase_view/40245424", "UA-2023-01-23-004984-a")</f>
        <v>UA-2023-01-23-004984-a</v>
      </c>
      <c r="C202" s="2" t="str">
        <f>HYPERLINK("https://my.zakupivli.pro/remote/dispatcher/state_contracting_view/15589900", "UA-2023-01-23-004984-a-a1")</f>
        <v>UA-2023-01-23-004984-a-a1</v>
      </c>
      <c r="D202" s="1" t="s">
        <v>778</v>
      </c>
      <c r="E202" s="1" t="s">
        <v>1089</v>
      </c>
      <c r="F202" s="1" t="s">
        <v>776</v>
      </c>
      <c r="G202" s="1" t="s">
        <v>1056</v>
      </c>
      <c r="H202" s="1" t="s">
        <v>1227</v>
      </c>
      <c r="I202" s="1" t="s">
        <v>629</v>
      </c>
      <c r="J202" s="1" t="s">
        <v>989</v>
      </c>
      <c r="K202" s="5">
        <v>242160</v>
      </c>
      <c r="L202" s="6">
        <v>44967</v>
      </c>
      <c r="M202" s="6">
        <v>45291</v>
      </c>
      <c r="N202" s="1" t="s">
        <v>1399</v>
      </c>
    </row>
    <row r="203" spans="1:14" x14ac:dyDescent="0.25">
      <c r="A203" s="4">
        <v>199</v>
      </c>
      <c r="B203" s="2" t="str">
        <f>HYPERLINK("https://my.zakupivli.pro/remote/dispatcher/state_purchase_view/40785081", "UA-2023-02-10-012693-a")</f>
        <v>UA-2023-02-10-012693-a</v>
      </c>
      <c r="C203" s="2" t="str">
        <f>HYPERLINK("https://my.zakupivli.pro/remote/dispatcher/state_contracting_view/16021877", "UA-2023-02-10-012693-a-a1")</f>
        <v>UA-2023-02-10-012693-a-a1</v>
      </c>
      <c r="D203" s="1" t="s">
        <v>459</v>
      </c>
      <c r="E203" s="1" t="s">
        <v>1355</v>
      </c>
      <c r="F203" s="1" t="s">
        <v>460</v>
      </c>
      <c r="G203" s="1" t="s">
        <v>1056</v>
      </c>
      <c r="H203" s="1" t="s">
        <v>1351</v>
      </c>
      <c r="I203" s="1" t="s">
        <v>262</v>
      </c>
      <c r="J203" s="1" t="s">
        <v>54</v>
      </c>
      <c r="K203" s="5">
        <v>629946</v>
      </c>
      <c r="L203" s="6">
        <v>45008</v>
      </c>
      <c r="M203" s="6">
        <v>45291</v>
      </c>
      <c r="N203" s="1" t="s">
        <v>1399</v>
      </c>
    </row>
    <row r="204" spans="1:14" x14ac:dyDescent="0.25">
      <c r="A204" s="4">
        <v>200</v>
      </c>
      <c r="B204" s="2" t="str">
        <f>HYPERLINK("https://my.zakupivli.pro/remote/dispatcher/state_purchase_view/41756766", "UA-2023-04-03-001370-a")</f>
        <v>UA-2023-04-03-001370-a</v>
      </c>
      <c r="C204" s="2" t="str">
        <f>HYPERLINK("https://my.zakupivli.pro/remote/dispatcher/state_contracting_view/16219220", "UA-2023-04-03-001370-a-b1")</f>
        <v>UA-2023-04-03-001370-a-b1</v>
      </c>
      <c r="D204" s="1" t="s">
        <v>739</v>
      </c>
      <c r="E204" s="1" t="s">
        <v>1088</v>
      </c>
      <c r="F204" s="1" t="s">
        <v>738</v>
      </c>
      <c r="G204" s="1" t="s">
        <v>1056</v>
      </c>
      <c r="H204" s="1" t="s">
        <v>1340</v>
      </c>
      <c r="I204" s="1" t="s">
        <v>400</v>
      </c>
      <c r="J204" s="1" t="s">
        <v>115</v>
      </c>
      <c r="K204" s="5">
        <v>968643.64</v>
      </c>
      <c r="L204" s="6">
        <v>45036</v>
      </c>
      <c r="M204" s="6">
        <v>45291</v>
      </c>
      <c r="N204" s="1" t="s">
        <v>1399</v>
      </c>
    </row>
    <row r="205" spans="1:14" x14ac:dyDescent="0.25">
      <c r="A205" s="4">
        <v>201</v>
      </c>
      <c r="B205" s="2" t="str">
        <f>HYPERLINK("https://my.zakupivli.pro/remote/dispatcher/state_purchase_view/42233495", "UA-2023-04-27-008329-a")</f>
        <v>UA-2023-04-27-008329-a</v>
      </c>
      <c r="C205" s="2" t="str">
        <f>HYPERLINK("https://my.zakupivli.pro/remote/dispatcher/state_contracting_view/16446123", "UA-2023-04-27-008329-a-c1")</f>
        <v>UA-2023-04-27-008329-a-c1</v>
      </c>
      <c r="D205" s="1" t="s">
        <v>715</v>
      </c>
      <c r="E205" s="1" t="s">
        <v>1240</v>
      </c>
      <c r="F205" s="1" t="s">
        <v>712</v>
      </c>
      <c r="G205" s="1" t="s">
        <v>1056</v>
      </c>
      <c r="H205" s="1" t="s">
        <v>1155</v>
      </c>
      <c r="I205" s="1" t="s">
        <v>423</v>
      </c>
      <c r="J205" s="1" t="s">
        <v>162</v>
      </c>
      <c r="K205" s="5">
        <v>3276000</v>
      </c>
      <c r="L205" s="6">
        <v>45062</v>
      </c>
      <c r="M205" s="6">
        <v>45291</v>
      </c>
      <c r="N205" s="1" t="s">
        <v>1399</v>
      </c>
    </row>
    <row r="206" spans="1:14" x14ac:dyDescent="0.25">
      <c r="A206" s="4">
        <v>202</v>
      </c>
      <c r="B206" s="2" t="str">
        <f>HYPERLINK("https://my.zakupivli.pro/remote/dispatcher/state_purchase_view/41194201", "UA-2023-03-02-010532-a")</f>
        <v>UA-2023-03-02-010532-a</v>
      </c>
      <c r="C206" s="2" t="str">
        <f>HYPERLINK("https://my.zakupivli.pro/remote/dispatcher/state_contracting_view/16022543", "UA-2023-03-02-010532-a-a2")</f>
        <v>UA-2023-03-02-010532-a-a2</v>
      </c>
      <c r="D206" s="1" t="s">
        <v>71</v>
      </c>
      <c r="E206" s="1" t="s">
        <v>1358</v>
      </c>
      <c r="F206" s="1" t="s">
        <v>70</v>
      </c>
      <c r="G206" s="1" t="s">
        <v>1056</v>
      </c>
      <c r="H206" s="1" t="s">
        <v>1312</v>
      </c>
      <c r="I206" s="1" t="s">
        <v>769</v>
      </c>
      <c r="J206" s="1" t="s">
        <v>58</v>
      </c>
      <c r="K206" s="5">
        <v>2760000</v>
      </c>
      <c r="L206" s="6">
        <v>45015</v>
      </c>
      <c r="M206" s="6">
        <v>45291</v>
      </c>
      <c r="N206" s="1" t="s">
        <v>1399</v>
      </c>
    </row>
    <row r="207" spans="1:14" x14ac:dyDescent="0.25">
      <c r="A207" s="4">
        <v>203</v>
      </c>
      <c r="B207" s="2" t="str">
        <f>HYPERLINK("https://my.zakupivli.pro/remote/dispatcher/state_purchase_view/44664897", "UA-2023-08-22-001875-a")</f>
        <v>UA-2023-08-22-001875-a</v>
      </c>
      <c r="C207" s="2" t="str">
        <f>HYPERLINK("https://my.zakupivli.pro/remote/dispatcher/state_contracting_view/17558249", "UA-2023-08-22-001875-a-c1")</f>
        <v>UA-2023-08-22-001875-a-c1</v>
      </c>
      <c r="D207" s="1" t="s">
        <v>348</v>
      </c>
      <c r="E207" s="1" t="s">
        <v>350</v>
      </c>
      <c r="F207" s="1" t="s">
        <v>349</v>
      </c>
      <c r="G207" s="1" t="s">
        <v>1056</v>
      </c>
      <c r="H207" s="1" t="s">
        <v>1139</v>
      </c>
      <c r="I207" s="1" t="s">
        <v>499</v>
      </c>
      <c r="J207" s="1" t="s">
        <v>645</v>
      </c>
      <c r="K207" s="5">
        <v>111249</v>
      </c>
      <c r="L207" s="6">
        <v>45183</v>
      </c>
      <c r="M207" s="6">
        <v>45291</v>
      </c>
      <c r="N207" s="1" t="s">
        <v>1399</v>
      </c>
    </row>
    <row r="208" spans="1:14" x14ac:dyDescent="0.25">
      <c r="A208" s="4">
        <v>204</v>
      </c>
      <c r="B208" s="2" t="str">
        <f>HYPERLINK("https://my.zakupivli.pro/remote/dispatcher/state_purchase_view/41191380", "UA-2023-03-02-009241-a")</f>
        <v>UA-2023-03-02-009241-a</v>
      </c>
      <c r="C208" s="2" t="str">
        <f>HYPERLINK("https://my.zakupivli.pro/remote/dispatcher/state_contracting_view/15786891", "UA-2023-03-02-009241-a-c1")</f>
        <v>UA-2023-03-02-009241-a-c1</v>
      </c>
      <c r="D208" s="1" t="s">
        <v>731</v>
      </c>
      <c r="E208" s="1" t="s">
        <v>1348</v>
      </c>
      <c r="F208" s="1" t="s">
        <v>730</v>
      </c>
      <c r="G208" s="1" t="s">
        <v>1091</v>
      </c>
      <c r="H208" s="1" t="s">
        <v>1259</v>
      </c>
      <c r="I208" s="1" t="s">
        <v>544</v>
      </c>
      <c r="J208" s="1" t="s">
        <v>34</v>
      </c>
      <c r="K208" s="5">
        <v>91260</v>
      </c>
      <c r="L208" s="6">
        <v>44987</v>
      </c>
      <c r="M208" s="6">
        <v>45291</v>
      </c>
      <c r="N208" s="1" t="s">
        <v>1369</v>
      </c>
    </row>
    <row r="209" spans="1:14" x14ac:dyDescent="0.25">
      <c r="A209" s="4">
        <v>205</v>
      </c>
      <c r="B209" s="2" t="str">
        <f>HYPERLINK("https://my.zakupivli.pro/remote/dispatcher/state_purchase_view/42828630", "UA-2023-05-25-001809-a")</f>
        <v>UA-2023-05-25-001809-a</v>
      </c>
      <c r="C209" s="2" t="str">
        <f>HYPERLINK("https://my.zakupivli.pro/remote/dispatcher/state_contracting_view/16510576", "UA-2023-05-25-001809-a-a1")</f>
        <v>UA-2023-05-25-001809-a-a1</v>
      </c>
      <c r="D209" s="1" t="s">
        <v>18</v>
      </c>
      <c r="E209" s="1" t="s">
        <v>1387</v>
      </c>
      <c r="F209" s="1" t="s">
        <v>16</v>
      </c>
      <c r="G209" s="1" t="s">
        <v>1091</v>
      </c>
      <c r="H209" s="1" t="s">
        <v>1301</v>
      </c>
      <c r="I209" s="1" t="s">
        <v>769</v>
      </c>
      <c r="J209" s="1" t="s">
        <v>174</v>
      </c>
      <c r="K209" s="5">
        <v>12600</v>
      </c>
      <c r="L209" s="6">
        <v>45069</v>
      </c>
      <c r="M209" s="6">
        <v>45291</v>
      </c>
      <c r="N209" s="1" t="s">
        <v>1369</v>
      </c>
    </row>
    <row r="210" spans="1:14" x14ac:dyDescent="0.25">
      <c r="A210" s="4">
        <v>206</v>
      </c>
      <c r="B210" s="2" t="str">
        <f>HYPERLINK("https://my.zakupivli.pro/remote/dispatcher/state_purchase_view/44205794", "UA-2023-07-28-006839-a")</f>
        <v>UA-2023-07-28-006839-a</v>
      </c>
      <c r="C210" s="2" t="str">
        <f>HYPERLINK("https://my.zakupivli.pro/remote/dispatcher/state_contracting_view/17132420", "UA-2023-07-28-006839-a-b1")</f>
        <v>UA-2023-07-28-006839-a-b1</v>
      </c>
      <c r="D210" s="1" t="s">
        <v>385</v>
      </c>
      <c r="E210" s="1" t="s">
        <v>1481</v>
      </c>
      <c r="F210" s="1" t="s">
        <v>384</v>
      </c>
      <c r="G210" s="1" t="s">
        <v>1091</v>
      </c>
      <c r="H210" s="1" t="s">
        <v>1274</v>
      </c>
      <c r="I210" s="1" t="s">
        <v>509</v>
      </c>
      <c r="J210" s="1" t="s">
        <v>374</v>
      </c>
      <c r="K210" s="5">
        <v>3066</v>
      </c>
      <c r="L210" s="6">
        <v>45134</v>
      </c>
      <c r="M210" s="6">
        <v>45291</v>
      </c>
      <c r="N210" s="1" t="s">
        <v>1369</v>
      </c>
    </row>
    <row r="211" spans="1:14" x14ac:dyDescent="0.25">
      <c r="A211" s="4">
        <v>207</v>
      </c>
      <c r="B211" s="2" t="str">
        <f>HYPERLINK("https://my.zakupivli.pro/remote/dispatcher/state_purchase_view/39982288", "UA-2023-01-10-004769-a")</f>
        <v>UA-2023-01-10-004769-a</v>
      </c>
      <c r="C211" s="2" t="str">
        <f>HYPERLINK("https://my.zakupivli.pro/remote/dispatcher/state_contracting_view/15227388", "UA-2023-01-10-004769-a-b1")</f>
        <v>UA-2023-01-10-004769-a-b1</v>
      </c>
      <c r="D211" s="1" t="s">
        <v>915</v>
      </c>
      <c r="E211" s="1" t="s">
        <v>1220</v>
      </c>
      <c r="F211" s="1" t="s">
        <v>914</v>
      </c>
      <c r="G211" s="1" t="s">
        <v>1091</v>
      </c>
      <c r="H211" s="1" t="s">
        <v>1333</v>
      </c>
      <c r="I211" s="1" t="s">
        <v>234</v>
      </c>
      <c r="J211" s="1" t="s">
        <v>711</v>
      </c>
      <c r="K211" s="5">
        <v>25580706.199999999</v>
      </c>
      <c r="L211" s="6">
        <v>44932</v>
      </c>
      <c r="M211" s="6">
        <v>45291</v>
      </c>
      <c r="N211" s="1" t="s">
        <v>1369</v>
      </c>
    </row>
    <row r="212" spans="1:14" x14ac:dyDescent="0.25">
      <c r="A212" s="4">
        <v>208</v>
      </c>
      <c r="B212" s="2" t="str">
        <f>HYPERLINK("https://my.zakupivli.pro/remote/dispatcher/state_purchase_view/43846514", "UA-2023-07-11-004870-a")</f>
        <v>UA-2023-07-11-004870-a</v>
      </c>
      <c r="C212" s="2" t="str">
        <f>HYPERLINK("https://my.zakupivli.pro/remote/dispatcher/state_contracting_view/16976589", "UA-2023-07-11-004870-a-c1")</f>
        <v>UA-2023-07-11-004870-a-c1</v>
      </c>
      <c r="D212" s="1" t="s">
        <v>535</v>
      </c>
      <c r="E212" s="1" t="s">
        <v>1037</v>
      </c>
      <c r="F212" s="1" t="s">
        <v>536</v>
      </c>
      <c r="G212" s="1" t="s">
        <v>1091</v>
      </c>
      <c r="H212" s="1" t="s">
        <v>1352</v>
      </c>
      <c r="I212" s="1" t="s">
        <v>289</v>
      </c>
      <c r="J212" s="1" t="s">
        <v>287</v>
      </c>
      <c r="K212" s="5">
        <v>24000</v>
      </c>
      <c r="L212" s="6">
        <v>45111</v>
      </c>
      <c r="M212" s="6">
        <v>45291</v>
      </c>
      <c r="N212" s="1" t="s">
        <v>1369</v>
      </c>
    </row>
    <row r="213" spans="1:14" x14ac:dyDescent="0.25">
      <c r="A213" s="4">
        <v>209</v>
      </c>
      <c r="B213" s="2" t="str">
        <f>HYPERLINK("https://my.zakupivli.pro/remote/dispatcher/state_purchase_view/43992518", "UA-2023-07-18-010125-a")</f>
        <v>UA-2023-07-18-010125-a</v>
      </c>
      <c r="C213" s="2" t="str">
        <f>HYPERLINK("https://my.zakupivli.pro/remote/dispatcher/state_contracting_view/17039283", "UA-2023-07-18-010125-a-b1")</f>
        <v>UA-2023-07-18-010125-a-b1</v>
      </c>
      <c r="D213" s="1" t="s">
        <v>720</v>
      </c>
      <c r="E213" s="1" t="s">
        <v>1463</v>
      </c>
      <c r="F213" s="1" t="s">
        <v>718</v>
      </c>
      <c r="G213" s="1" t="s">
        <v>1091</v>
      </c>
      <c r="H213" s="1" t="s">
        <v>1263</v>
      </c>
      <c r="I213" s="1" t="s">
        <v>517</v>
      </c>
      <c r="J213" s="1" t="s">
        <v>319</v>
      </c>
      <c r="K213" s="5">
        <v>24256.86</v>
      </c>
      <c r="L213" s="6">
        <v>45125</v>
      </c>
      <c r="M213" s="6">
        <v>45291</v>
      </c>
      <c r="N213" s="1" t="s">
        <v>1369</v>
      </c>
    </row>
    <row r="214" spans="1:14" x14ac:dyDescent="0.25">
      <c r="A214" s="4">
        <v>210</v>
      </c>
      <c r="B214" s="2" t="str">
        <f>HYPERLINK("https://my.zakupivli.pro/remote/dispatcher/state_purchase_view/43992928", "UA-2023-07-18-010312-a")</f>
        <v>UA-2023-07-18-010312-a</v>
      </c>
      <c r="C214" s="2" t="str">
        <f>HYPERLINK("https://my.zakupivli.pro/remote/dispatcher/state_contracting_view/17039488", "UA-2023-07-18-010312-a-a1")</f>
        <v>UA-2023-07-18-010312-a-a1</v>
      </c>
      <c r="D214" s="1" t="s">
        <v>855</v>
      </c>
      <c r="E214" s="1" t="s">
        <v>1475</v>
      </c>
      <c r="F214" s="1" t="s">
        <v>854</v>
      </c>
      <c r="G214" s="1" t="s">
        <v>1091</v>
      </c>
      <c r="H214" s="1" t="s">
        <v>1336</v>
      </c>
      <c r="I214" s="1" t="s">
        <v>187</v>
      </c>
      <c r="J214" s="1" t="s">
        <v>320</v>
      </c>
      <c r="K214" s="5">
        <v>68200</v>
      </c>
      <c r="L214" s="6">
        <v>45125</v>
      </c>
      <c r="M214" s="6">
        <v>45291</v>
      </c>
      <c r="N214" s="1" t="s">
        <v>1369</v>
      </c>
    </row>
    <row r="215" spans="1:14" x14ac:dyDescent="0.25">
      <c r="A215" s="4">
        <v>211</v>
      </c>
      <c r="B215" s="2" t="str">
        <f>HYPERLINK("https://my.zakupivli.pro/remote/dispatcher/state_purchase_view/44294102", "UA-2023-08-03-001351-a")</f>
        <v>UA-2023-08-03-001351-a</v>
      </c>
      <c r="C215" s="2" t="str">
        <f>HYPERLINK("https://my.zakupivli.pro/remote/dispatcher/state_contracting_view/17441507", "UA-2023-08-03-001351-a-b1")</f>
        <v>UA-2023-08-03-001351-a-b1</v>
      </c>
      <c r="D215" s="1" t="s">
        <v>306</v>
      </c>
      <c r="E215" s="1" t="s">
        <v>1375</v>
      </c>
      <c r="F215" s="1" t="s">
        <v>310</v>
      </c>
      <c r="G215" s="1" t="s">
        <v>1056</v>
      </c>
      <c r="H215" s="1" t="s">
        <v>1051</v>
      </c>
      <c r="I215" s="1" t="s">
        <v>274</v>
      </c>
      <c r="J215" s="1" t="s">
        <v>595</v>
      </c>
      <c r="K215" s="5">
        <v>81850</v>
      </c>
      <c r="L215" s="6">
        <v>45173</v>
      </c>
      <c r="M215" s="6">
        <v>45291</v>
      </c>
      <c r="N215" s="1" t="s">
        <v>1399</v>
      </c>
    </row>
    <row r="216" spans="1:14" x14ac:dyDescent="0.25">
      <c r="A216" s="4">
        <v>212</v>
      </c>
      <c r="B216" s="2" t="str">
        <f>HYPERLINK("https://my.zakupivli.pro/remote/dispatcher/state_purchase_view/44992328", "UA-2023-09-06-012904-a")</f>
        <v>UA-2023-09-06-012904-a</v>
      </c>
      <c r="C216" s="2" t="str">
        <f>HYPERLINK("https://my.zakupivli.pro/remote/dispatcher/state_contracting_view/17716942", "UA-2023-09-06-012904-a-c1")</f>
        <v>UA-2023-09-06-012904-a-c1</v>
      </c>
      <c r="D216" s="1" t="s">
        <v>631</v>
      </c>
      <c r="E216" s="1" t="s">
        <v>1141</v>
      </c>
      <c r="F216" s="1" t="s">
        <v>634</v>
      </c>
      <c r="G216" s="1" t="s">
        <v>1056</v>
      </c>
      <c r="H216" s="1" t="s">
        <v>1302</v>
      </c>
      <c r="I216" s="1" t="s">
        <v>709</v>
      </c>
      <c r="J216" s="1" t="s">
        <v>708</v>
      </c>
      <c r="K216" s="5">
        <v>38940.480000000003</v>
      </c>
      <c r="L216" s="6">
        <v>45198</v>
      </c>
      <c r="M216" s="6">
        <v>45291</v>
      </c>
      <c r="N216" s="1" t="s">
        <v>1399</v>
      </c>
    </row>
    <row r="217" spans="1:14" x14ac:dyDescent="0.25">
      <c r="A217" s="4">
        <v>213</v>
      </c>
      <c r="B217" s="2" t="str">
        <f>HYPERLINK("https://my.zakupivli.pro/remote/dispatcher/state_purchase_view/47935826", "UA-2023-12-22-001737-a")</f>
        <v>UA-2023-12-22-001737-a</v>
      </c>
      <c r="C217" s="2" t="str">
        <f>HYPERLINK("https://my.zakupivli.pro/remote/dispatcher/state_contracting_view/18720161", "UA-2023-12-22-001737-a-b1")</f>
        <v>UA-2023-12-22-001737-a-b1</v>
      </c>
      <c r="D217" s="1" t="s">
        <v>534</v>
      </c>
      <c r="E217" s="1" t="s">
        <v>1419</v>
      </c>
      <c r="F217" s="1" t="s">
        <v>533</v>
      </c>
      <c r="G217" s="1" t="s">
        <v>1091</v>
      </c>
      <c r="H217" s="1" t="s">
        <v>1263</v>
      </c>
      <c r="I217" s="1" t="s">
        <v>517</v>
      </c>
      <c r="J217" s="1" t="s">
        <v>879</v>
      </c>
      <c r="K217" s="5">
        <v>4072.57</v>
      </c>
      <c r="L217" s="6">
        <v>45280</v>
      </c>
      <c r="M217" s="6">
        <v>45291</v>
      </c>
      <c r="N217" s="1" t="s">
        <v>1369</v>
      </c>
    </row>
    <row r="218" spans="1:14" x14ac:dyDescent="0.25">
      <c r="A218" s="4">
        <v>214</v>
      </c>
      <c r="B218" s="2" t="str">
        <f>HYPERLINK("https://my.zakupivli.pro/remote/dispatcher/state_purchase_view/45531845", "UA-2023-09-29-001299-a")</f>
        <v>UA-2023-09-29-001299-a</v>
      </c>
      <c r="C218" s="2" t="str">
        <f>HYPERLINK("https://my.zakupivli.pro/remote/dispatcher/state_contracting_view/17698446", "UA-2023-09-29-001299-a-c1")</f>
        <v>UA-2023-09-29-001299-a-c1</v>
      </c>
      <c r="D218" s="1" t="s">
        <v>410</v>
      </c>
      <c r="E218" s="1" t="s">
        <v>410</v>
      </c>
      <c r="F218" s="1" t="s">
        <v>409</v>
      </c>
      <c r="G218" s="1" t="s">
        <v>1091</v>
      </c>
      <c r="H218" s="1" t="s">
        <v>1271</v>
      </c>
      <c r="I218" s="1" t="s">
        <v>425</v>
      </c>
      <c r="J218" s="1" t="s">
        <v>988</v>
      </c>
      <c r="K218" s="5">
        <v>3996</v>
      </c>
      <c r="L218" s="6">
        <v>45197</v>
      </c>
      <c r="M218" s="6">
        <v>45291</v>
      </c>
      <c r="N218" s="1" t="s">
        <v>1369</v>
      </c>
    </row>
    <row r="219" spans="1:14" x14ac:dyDescent="0.25">
      <c r="A219" s="4">
        <v>215</v>
      </c>
      <c r="B219" s="2" t="str">
        <f>HYPERLINK("https://my.zakupivli.pro/remote/dispatcher/state_purchase_view/45455411", "UA-2023-09-26-010080-a")</f>
        <v>UA-2023-09-26-010080-a</v>
      </c>
      <c r="C219" s="2" t="str">
        <f>HYPERLINK("https://my.zakupivli.pro/remote/dispatcher/state_contracting_view/17665604", "UA-2023-09-26-010080-a-a1")</f>
        <v>UA-2023-09-26-010080-a-a1</v>
      </c>
      <c r="D219" s="1" t="s">
        <v>298</v>
      </c>
      <c r="E219" s="1" t="s">
        <v>300</v>
      </c>
      <c r="F219" s="1" t="s">
        <v>299</v>
      </c>
      <c r="G219" s="1" t="s">
        <v>1091</v>
      </c>
      <c r="H219" s="1" t="s">
        <v>1271</v>
      </c>
      <c r="I219" s="1" t="s">
        <v>425</v>
      </c>
      <c r="J219" s="1" t="s">
        <v>958</v>
      </c>
      <c r="K219" s="5">
        <v>28980.720000000001</v>
      </c>
      <c r="L219" s="6">
        <v>45194</v>
      </c>
      <c r="M219" s="6">
        <v>45291</v>
      </c>
      <c r="N219" s="1" t="s">
        <v>1369</v>
      </c>
    </row>
    <row r="220" spans="1:14" x14ac:dyDescent="0.25">
      <c r="A220" s="4">
        <v>216</v>
      </c>
      <c r="B220" s="2" t="str">
        <f>HYPERLINK("https://my.zakupivli.pro/remote/dispatcher/state_purchase_view/46258728", "UA-2023-10-30-006979-a")</f>
        <v>UA-2023-10-30-006979-a</v>
      </c>
      <c r="C220" s="2" t="str">
        <f>HYPERLINK("https://my.zakupivli.pro/remote/dispatcher/state_contracting_view/18008876", "UA-2023-10-30-006979-a-c1")</f>
        <v>UA-2023-10-30-006979-a-c1</v>
      </c>
      <c r="D220" s="1" t="s">
        <v>713</v>
      </c>
      <c r="E220" s="1" t="s">
        <v>717</v>
      </c>
      <c r="F220" s="1" t="s">
        <v>716</v>
      </c>
      <c r="G220" s="1" t="s">
        <v>1091</v>
      </c>
      <c r="H220" s="1" t="s">
        <v>1158</v>
      </c>
      <c r="I220" s="1" t="s">
        <v>160</v>
      </c>
      <c r="J220" s="1" t="s">
        <v>802</v>
      </c>
      <c r="K220" s="5">
        <v>36400</v>
      </c>
      <c r="L220" s="6">
        <v>45226</v>
      </c>
      <c r="M220" s="6">
        <v>45291</v>
      </c>
      <c r="N220" s="1" t="s">
        <v>1369</v>
      </c>
    </row>
    <row r="221" spans="1:14" x14ac:dyDescent="0.25">
      <c r="A221" s="4">
        <v>217</v>
      </c>
      <c r="B221" s="2" t="str">
        <f>HYPERLINK("https://my.zakupivli.pro/remote/dispatcher/state_purchase_view/46368200", "UA-2023-11-03-001583-a")</f>
        <v>UA-2023-11-03-001583-a</v>
      </c>
      <c r="C221" s="2" t="str">
        <f>HYPERLINK("https://my.zakupivli.pro/remote/dispatcher/state_contracting_view/18055595", "UA-2023-11-03-001583-a-c1")</f>
        <v>UA-2023-11-03-001583-a-c1</v>
      </c>
      <c r="D221" s="1" t="s">
        <v>0</v>
      </c>
      <c r="E221" s="1" t="s">
        <v>846</v>
      </c>
      <c r="F221" s="1" t="s">
        <v>840</v>
      </c>
      <c r="G221" s="1" t="s">
        <v>1091</v>
      </c>
      <c r="H221" s="1" t="s">
        <v>1364</v>
      </c>
      <c r="I221" s="1" t="s">
        <v>286</v>
      </c>
      <c r="J221" s="1" t="s">
        <v>807</v>
      </c>
      <c r="K221" s="5">
        <v>47996</v>
      </c>
      <c r="L221" s="6">
        <v>45233</v>
      </c>
      <c r="M221" s="6">
        <v>45291</v>
      </c>
      <c r="N221" s="1" t="s">
        <v>1369</v>
      </c>
    </row>
    <row r="222" spans="1:14" x14ac:dyDescent="0.25">
      <c r="A222" s="4">
        <v>218</v>
      </c>
      <c r="B222" s="2" t="str">
        <f>HYPERLINK("https://my.zakupivli.pro/remote/dispatcher/state_purchase_view/46367304", "UA-2023-11-03-001175-a")</f>
        <v>UA-2023-11-03-001175-a</v>
      </c>
      <c r="C222" s="2" t="str">
        <f>HYPERLINK("https://my.zakupivli.pro/remote/dispatcher/state_contracting_view/18055164", "UA-2023-11-03-001175-a-a1")</f>
        <v>UA-2023-11-03-001175-a-a1</v>
      </c>
      <c r="D222" s="1" t="s">
        <v>722</v>
      </c>
      <c r="E222" s="1" t="s">
        <v>727</v>
      </c>
      <c r="F222" s="1" t="s">
        <v>726</v>
      </c>
      <c r="G222" s="1" t="s">
        <v>1091</v>
      </c>
      <c r="H222" s="1" t="s">
        <v>1159</v>
      </c>
      <c r="I222" s="1" t="s">
        <v>251</v>
      </c>
      <c r="J222" s="1" t="s">
        <v>806</v>
      </c>
      <c r="K222" s="5">
        <v>23250</v>
      </c>
      <c r="L222" s="6">
        <v>45232</v>
      </c>
      <c r="M222" s="6">
        <v>45291</v>
      </c>
      <c r="N222" s="1" t="s">
        <v>1369</v>
      </c>
    </row>
    <row r="223" spans="1:14" x14ac:dyDescent="0.25">
      <c r="A223" s="4">
        <v>219</v>
      </c>
      <c r="B223" s="2" t="str">
        <f>HYPERLINK("https://my.zakupivli.pro/remote/dispatcher/state_purchase_view/44989949", "UA-2023-09-06-011830-a")</f>
        <v>UA-2023-09-06-011830-a</v>
      </c>
      <c r="C223" s="2" t="str">
        <f>HYPERLINK("https://my.zakupivli.pro/remote/dispatcher/state_contracting_view/17468701", "UA-2023-09-06-011830-a-c1")</f>
        <v>UA-2023-09-06-011830-a-c1</v>
      </c>
      <c r="D223" s="1" t="s">
        <v>616</v>
      </c>
      <c r="E223" s="1" t="s">
        <v>618</v>
      </c>
      <c r="F223" s="1" t="s">
        <v>617</v>
      </c>
      <c r="G223" s="1" t="s">
        <v>1091</v>
      </c>
      <c r="H223" s="1" t="s">
        <v>1177</v>
      </c>
      <c r="I223" s="1" t="s">
        <v>498</v>
      </c>
      <c r="J223" s="1" t="s">
        <v>573</v>
      </c>
      <c r="K223" s="5">
        <v>38100</v>
      </c>
      <c r="L223" s="6">
        <v>45173</v>
      </c>
      <c r="M223" s="6">
        <v>45291</v>
      </c>
      <c r="N223" s="1" t="s">
        <v>1369</v>
      </c>
    </row>
    <row r="224" spans="1:14" x14ac:dyDescent="0.25">
      <c r="A224" s="4">
        <v>220</v>
      </c>
      <c r="B224" s="2" t="str">
        <f>HYPERLINK("https://my.zakupivli.pro/remote/dispatcher/state_purchase_view/43638613", "UA-2023-06-29-007292-a")</f>
        <v>UA-2023-06-29-007292-a</v>
      </c>
      <c r="C224" s="2" t="str">
        <f>HYPERLINK("https://my.zakupivli.pro/remote/dispatcher/state_contracting_view/16885878", "UA-2023-06-29-007292-a-c1")</f>
        <v>UA-2023-06-29-007292-a-c1</v>
      </c>
      <c r="D224" s="1" t="s">
        <v>432</v>
      </c>
      <c r="E224" s="1" t="s">
        <v>1377</v>
      </c>
      <c r="F224" s="1" t="s">
        <v>433</v>
      </c>
      <c r="G224" s="1" t="s">
        <v>1091</v>
      </c>
      <c r="H224" s="1" t="s">
        <v>1179</v>
      </c>
      <c r="I224" s="1" t="s">
        <v>155</v>
      </c>
      <c r="J224" s="1" t="s">
        <v>266</v>
      </c>
      <c r="K224" s="5">
        <v>306.5</v>
      </c>
      <c r="L224" s="6">
        <v>45104</v>
      </c>
      <c r="M224" s="6">
        <v>45291</v>
      </c>
      <c r="N224" s="1" t="s">
        <v>1369</v>
      </c>
    </row>
    <row r="225" spans="1:14" x14ac:dyDescent="0.25">
      <c r="A225" s="4">
        <v>221</v>
      </c>
      <c r="B225" s="2" t="str">
        <f>HYPERLINK("https://my.zakupivli.pro/remote/dispatcher/state_purchase_view/42691496", "UA-2023-05-18-011488-a")</f>
        <v>UA-2023-05-18-011488-a</v>
      </c>
      <c r="C225" s="2" t="str">
        <f>HYPERLINK("https://my.zakupivli.pro/remote/dispatcher/state_contracting_view/16446078", "UA-2023-05-18-011488-a-a1")</f>
        <v>UA-2023-05-18-011488-a-a1</v>
      </c>
      <c r="D225" s="1" t="s">
        <v>969</v>
      </c>
      <c r="E225" s="1" t="s">
        <v>1451</v>
      </c>
      <c r="F225" s="1" t="s">
        <v>968</v>
      </c>
      <c r="G225" s="1" t="s">
        <v>1091</v>
      </c>
      <c r="H225" s="1" t="s">
        <v>1305</v>
      </c>
      <c r="I225" s="1" t="s">
        <v>560</v>
      </c>
      <c r="J225" s="1" t="s">
        <v>161</v>
      </c>
      <c r="K225" s="5">
        <v>10000</v>
      </c>
      <c r="L225" s="6">
        <v>45062</v>
      </c>
      <c r="M225" s="6">
        <v>45291</v>
      </c>
      <c r="N225" s="1" t="s">
        <v>1369</v>
      </c>
    </row>
    <row r="226" spans="1:14" x14ac:dyDescent="0.25">
      <c r="A226" s="4">
        <v>222</v>
      </c>
      <c r="B226" s="2" t="str">
        <f>HYPERLINK("https://my.zakupivli.pro/remote/dispatcher/state_purchase_view/43124155", "UA-2023-06-07-012187-a")</f>
        <v>UA-2023-06-07-012187-a</v>
      </c>
      <c r="C226" s="2" t="str">
        <f>HYPERLINK("https://my.zakupivli.pro/remote/dispatcher/state_contracting_view/16643080", "UA-2023-06-07-012187-a-a1")</f>
        <v>UA-2023-06-07-012187-a-a1</v>
      </c>
      <c r="D226" s="1" t="s">
        <v>556</v>
      </c>
      <c r="E226" s="1" t="s">
        <v>1124</v>
      </c>
      <c r="F226" s="1" t="s">
        <v>561</v>
      </c>
      <c r="G226" s="1" t="s">
        <v>1091</v>
      </c>
      <c r="H226" s="1" t="s">
        <v>1165</v>
      </c>
      <c r="I226" s="1" t="s">
        <v>15</v>
      </c>
      <c r="J226" s="1" t="s">
        <v>218</v>
      </c>
      <c r="K226" s="5">
        <v>11052</v>
      </c>
      <c r="L226" s="6">
        <v>45084</v>
      </c>
      <c r="M226" s="6">
        <v>45291</v>
      </c>
      <c r="N226" s="1" t="s">
        <v>1369</v>
      </c>
    </row>
    <row r="227" spans="1:14" x14ac:dyDescent="0.25">
      <c r="A227" s="4">
        <v>223</v>
      </c>
      <c r="B227" s="2" t="str">
        <f>HYPERLINK("https://my.zakupivli.pro/remote/dispatcher/state_purchase_view/43111214", "UA-2023-06-07-006117-a")</f>
        <v>UA-2023-06-07-006117-a</v>
      </c>
      <c r="C227" s="2" t="str">
        <f>HYPERLINK("https://my.zakupivli.pro/remote/dispatcher/state_contracting_view/16637291", "UA-2023-06-07-006117-a-b1")</f>
        <v>UA-2023-06-07-006117-a-b1</v>
      </c>
      <c r="D227" s="1" t="s">
        <v>660</v>
      </c>
      <c r="E227" s="1" t="s">
        <v>1378</v>
      </c>
      <c r="F227" s="1" t="s">
        <v>659</v>
      </c>
      <c r="G227" s="1" t="s">
        <v>1091</v>
      </c>
      <c r="H227" s="1" t="s">
        <v>1023</v>
      </c>
      <c r="I227" s="1" t="s">
        <v>264</v>
      </c>
      <c r="J227" s="1" t="s">
        <v>212</v>
      </c>
      <c r="K227" s="5">
        <v>15000</v>
      </c>
      <c r="L227" s="6">
        <v>45084</v>
      </c>
      <c r="M227" s="6">
        <v>45291</v>
      </c>
      <c r="N227" s="1" t="s">
        <v>1369</v>
      </c>
    </row>
    <row r="228" spans="1:14" x14ac:dyDescent="0.25">
      <c r="A228" s="4">
        <v>224</v>
      </c>
      <c r="B228" s="2" t="str">
        <f>HYPERLINK("https://my.zakupivli.pro/remote/dispatcher/state_purchase_view/45702639", "UA-2023-10-06-009107-a")</f>
        <v>UA-2023-10-06-009107-a</v>
      </c>
      <c r="C228" s="2" t="str">
        <f>HYPERLINK("https://my.zakupivli.pro/remote/dispatcher/state_contracting_view/17770810", "UA-2023-10-06-009107-a-b1")</f>
        <v>UA-2023-10-06-009107-a-b1</v>
      </c>
      <c r="D228" s="1" t="s">
        <v>332</v>
      </c>
      <c r="E228" s="1" t="s">
        <v>335</v>
      </c>
      <c r="F228" s="1" t="s">
        <v>334</v>
      </c>
      <c r="G228" s="1" t="s">
        <v>1091</v>
      </c>
      <c r="H228" s="1" t="s">
        <v>1105</v>
      </c>
      <c r="I228" s="1" t="s">
        <v>284</v>
      </c>
      <c r="J228" s="1" t="s">
        <v>788</v>
      </c>
      <c r="K228" s="5">
        <v>49590</v>
      </c>
      <c r="L228" s="6">
        <v>45205</v>
      </c>
      <c r="M228" s="6">
        <v>45291</v>
      </c>
      <c r="N228" s="1" t="s">
        <v>1369</v>
      </c>
    </row>
    <row r="229" spans="1:14" x14ac:dyDescent="0.25">
      <c r="A229" s="4">
        <v>225</v>
      </c>
      <c r="B229" s="2" t="str">
        <f>HYPERLINK("https://my.zakupivli.pro/remote/dispatcher/state_purchase_view/40041282", "UA-2023-01-13-003503-a")</f>
        <v>UA-2023-01-13-003503-a</v>
      </c>
      <c r="C229" s="2" t="str">
        <f>HYPERLINK("https://my.zakupivli.pro/remote/dispatcher/state_contracting_view/15252393", "UA-2023-01-13-003503-a-a1")</f>
        <v>UA-2023-01-13-003503-a-a1</v>
      </c>
      <c r="D229" s="1" t="s">
        <v>558</v>
      </c>
      <c r="E229" s="1" t="s">
        <v>1119</v>
      </c>
      <c r="F229" s="1" t="s">
        <v>557</v>
      </c>
      <c r="G229" s="1" t="s">
        <v>1091</v>
      </c>
      <c r="H229" s="1" t="s">
        <v>1357</v>
      </c>
      <c r="I229" s="1" t="s">
        <v>256</v>
      </c>
      <c r="J229" s="1" t="s">
        <v>502</v>
      </c>
      <c r="K229" s="5">
        <v>14619</v>
      </c>
      <c r="L229" s="6">
        <v>44938</v>
      </c>
      <c r="M229" s="6">
        <v>45291</v>
      </c>
      <c r="N229" s="1" t="s">
        <v>1369</v>
      </c>
    </row>
    <row r="230" spans="1:14" x14ac:dyDescent="0.25">
      <c r="A230" s="4">
        <v>226</v>
      </c>
      <c r="B230" s="2" t="str">
        <f>HYPERLINK("https://my.zakupivli.pro/remote/dispatcher/state_purchase_view/41771055", "UA-2023-04-03-007731-a")</f>
        <v>UA-2023-04-03-007731-a</v>
      </c>
      <c r="C230" s="2" t="str">
        <f>HYPERLINK("https://my.zakupivli.pro/remote/dispatcher/state_contracting_view/16034808", "UA-2023-04-03-007731-a-a1")</f>
        <v>UA-2023-04-03-007731-a-a1</v>
      </c>
      <c r="D230" s="1" t="s">
        <v>756</v>
      </c>
      <c r="E230" s="1" t="s">
        <v>1413</v>
      </c>
      <c r="F230" s="1" t="s">
        <v>754</v>
      </c>
      <c r="G230" s="1" t="s">
        <v>1091</v>
      </c>
      <c r="H230" s="1" t="s">
        <v>1256</v>
      </c>
      <c r="I230" s="1" t="s">
        <v>693</v>
      </c>
      <c r="J230" s="1" t="s">
        <v>64</v>
      </c>
      <c r="K230" s="5">
        <v>900</v>
      </c>
      <c r="L230" s="6">
        <v>45016</v>
      </c>
      <c r="M230" s="6">
        <v>45291</v>
      </c>
      <c r="N230" s="1" t="s">
        <v>1369</v>
      </c>
    </row>
    <row r="231" spans="1:14" x14ac:dyDescent="0.25">
      <c r="A231" s="4">
        <v>227</v>
      </c>
      <c r="B231" s="2" t="str">
        <f>HYPERLINK("https://my.zakupivli.pro/remote/dispatcher/state_purchase_view/42259690", "UA-2023-04-28-008017-a")</f>
        <v>UA-2023-04-28-008017-a</v>
      </c>
      <c r="C231" s="2" t="str">
        <f>HYPERLINK("https://my.zakupivli.pro/remote/dispatcher/state_contracting_view/16247497", "UA-2023-04-28-008017-a-a1")</f>
        <v>UA-2023-04-28-008017-a-a1</v>
      </c>
      <c r="D231" s="1" t="s">
        <v>84</v>
      </c>
      <c r="E231" s="1" t="s">
        <v>1371</v>
      </c>
      <c r="F231" s="1" t="s">
        <v>83</v>
      </c>
      <c r="G231" s="1" t="s">
        <v>1091</v>
      </c>
      <c r="H231" s="1" t="s">
        <v>1280</v>
      </c>
      <c r="I231" s="1" t="s">
        <v>233</v>
      </c>
      <c r="J231" s="1" t="s">
        <v>134</v>
      </c>
      <c r="K231" s="5">
        <v>98340</v>
      </c>
      <c r="L231" s="6">
        <v>45044</v>
      </c>
      <c r="M231" s="6">
        <v>45291</v>
      </c>
      <c r="N231" s="1" t="s">
        <v>1369</v>
      </c>
    </row>
    <row r="232" spans="1:14" x14ac:dyDescent="0.25">
      <c r="A232" s="4">
        <v>228</v>
      </c>
      <c r="B232" s="2" t="str">
        <f>HYPERLINK("https://my.zakupivli.pro/remote/dispatcher/state_purchase_view/42437654", "UA-2023-05-08-009814-a")</f>
        <v>UA-2023-05-08-009814-a</v>
      </c>
      <c r="C232" s="2" t="str">
        <f>HYPERLINK("https://my.zakupivli.pro/remote/dispatcher/state_contracting_view/16329053", "UA-2023-05-08-009814-a-c1")</f>
        <v>UA-2023-05-08-009814-a-c1</v>
      </c>
      <c r="D232" s="1" t="s">
        <v>99</v>
      </c>
      <c r="E232" s="1" t="s">
        <v>1427</v>
      </c>
      <c r="F232" s="1" t="s">
        <v>97</v>
      </c>
      <c r="G232" s="1" t="s">
        <v>1091</v>
      </c>
      <c r="H232" s="1" t="s">
        <v>1344</v>
      </c>
      <c r="I232" s="1" t="s">
        <v>275</v>
      </c>
      <c r="J232" s="1" t="s">
        <v>146</v>
      </c>
      <c r="K232" s="5">
        <v>6750</v>
      </c>
      <c r="L232" s="6">
        <v>45051</v>
      </c>
      <c r="M232" s="6">
        <v>45291</v>
      </c>
      <c r="N232" s="1" t="s">
        <v>1369</v>
      </c>
    </row>
    <row r="233" spans="1:14" x14ac:dyDescent="0.25">
      <c r="A233" s="4">
        <v>229</v>
      </c>
      <c r="B233" s="2" t="str">
        <f>HYPERLINK("https://my.zakupivli.pro/remote/dispatcher/state_purchase_view/40488784", "UA-2023-01-31-012054-a")</f>
        <v>UA-2023-01-31-012054-a</v>
      </c>
      <c r="C233" s="2" t="str">
        <f>HYPERLINK("https://my.zakupivli.pro/remote/dispatcher/state_contracting_view/15455429", "UA-2023-01-31-012054-a-c1")</f>
        <v>UA-2023-01-31-012054-a-c1</v>
      </c>
      <c r="D233" s="1" t="s">
        <v>197</v>
      </c>
      <c r="E233" s="1" t="s">
        <v>1407</v>
      </c>
      <c r="F233" s="1" t="s">
        <v>194</v>
      </c>
      <c r="G233" s="1" t="s">
        <v>1091</v>
      </c>
      <c r="H233" s="1" t="s">
        <v>1149</v>
      </c>
      <c r="I233" s="1" t="s">
        <v>230</v>
      </c>
      <c r="J233" s="1" t="s">
        <v>895</v>
      </c>
      <c r="K233" s="5">
        <v>50233</v>
      </c>
      <c r="L233" s="6">
        <v>44957</v>
      </c>
      <c r="M233" s="6">
        <v>45291</v>
      </c>
      <c r="N233" s="1" t="s">
        <v>1369</v>
      </c>
    </row>
    <row r="234" spans="1:14" x14ac:dyDescent="0.25">
      <c r="A234" s="4">
        <v>230</v>
      </c>
      <c r="B234" s="2" t="str">
        <f>HYPERLINK("https://my.zakupivli.pro/remote/dispatcher/state_purchase_view/40598429", "UA-2023-02-03-010424-a")</f>
        <v>UA-2023-02-03-010424-a</v>
      </c>
      <c r="C234" s="2" t="str">
        <f>HYPERLINK("https://my.zakupivli.pro/remote/dispatcher/state_contracting_view/15507497", "UA-2023-02-03-010424-a-a1")</f>
        <v>UA-2023-02-03-010424-a-a1</v>
      </c>
      <c r="D234" s="1" t="s">
        <v>746</v>
      </c>
      <c r="E234" s="1" t="s">
        <v>1039</v>
      </c>
      <c r="F234" s="1" t="s">
        <v>744</v>
      </c>
      <c r="G234" s="1" t="s">
        <v>1091</v>
      </c>
      <c r="H234" s="1" t="s">
        <v>1318</v>
      </c>
      <c r="I234" s="1" t="s">
        <v>753</v>
      </c>
      <c r="J234" s="1" t="s">
        <v>923</v>
      </c>
      <c r="K234" s="5">
        <v>11453.76</v>
      </c>
      <c r="L234" s="6">
        <v>44960</v>
      </c>
      <c r="M234" s="6">
        <v>45291</v>
      </c>
      <c r="N234" s="1" t="s">
        <v>1369</v>
      </c>
    </row>
    <row r="235" spans="1:14" x14ac:dyDescent="0.25">
      <c r="A235" s="4">
        <v>231</v>
      </c>
      <c r="B235" s="2" t="str">
        <f>HYPERLINK("https://my.zakupivli.pro/remote/dispatcher/state_purchase_view/40494523", "UA-2023-01-31-014800-a")</f>
        <v>UA-2023-01-31-014800-a</v>
      </c>
      <c r="C235" s="2" t="str">
        <f>HYPERLINK("https://my.zakupivli.pro/remote/dispatcher/state_contracting_view/15458962", "UA-2023-01-31-014800-a-b1")</f>
        <v>UA-2023-01-31-014800-a-b1</v>
      </c>
      <c r="D235" s="1" t="s">
        <v>944</v>
      </c>
      <c r="E235" s="1" t="s">
        <v>1211</v>
      </c>
      <c r="F235" s="1" t="s">
        <v>945</v>
      </c>
      <c r="G235" s="1" t="s">
        <v>1091</v>
      </c>
      <c r="H235" s="1" t="s">
        <v>1264</v>
      </c>
      <c r="I235" s="1" t="s">
        <v>229</v>
      </c>
      <c r="J235" s="1" t="s">
        <v>145</v>
      </c>
      <c r="K235" s="5">
        <v>3000</v>
      </c>
      <c r="L235" s="6">
        <v>44957</v>
      </c>
      <c r="M235" s="6">
        <v>45291</v>
      </c>
      <c r="N235" s="1" t="s">
        <v>1369</v>
      </c>
    </row>
    <row r="236" spans="1:14" x14ac:dyDescent="0.25">
      <c r="A236" s="4">
        <v>232</v>
      </c>
      <c r="B236" s="2" t="str">
        <f>HYPERLINK("https://my.zakupivli.pro/remote/dispatcher/state_purchase_view/39945143", "UA-2023-01-05-005542-a")</f>
        <v>UA-2023-01-05-005542-a</v>
      </c>
      <c r="C236" s="2" t="str">
        <f>HYPERLINK("https://my.zakupivli.pro/remote/dispatcher/state_contracting_view/15210956", "UA-2023-01-05-005542-a-c1")</f>
        <v>UA-2023-01-05-005542-a-c1</v>
      </c>
      <c r="D236" s="1" t="s">
        <v>903</v>
      </c>
      <c r="E236" s="1" t="s">
        <v>1204</v>
      </c>
      <c r="F236" s="1" t="s">
        <v>901</v>
      </c>
      <c r="G236" s="1" t="s">
        <v>1091</v>
      </c>
      <c r="H236" s="1" t="s">
        <v>1173</v>
      </c>
      <c r="I236" s="1" t="s">
        <v>165</v>
      </c>
      <c r="J236" s="1" t="s">
        <v>1097</v>
      </c>
      <c r="K236" s="5">
        <v>46500</v>
      </c>
      <c r="L236" s="6">
        <v>44929</v>
      </c>
      <c r="M236" s="6">
        <v>45291</v>
      </c>
      <c r="N236" s="1" t="s">
        <v>1369</v>
      </c>
    </row>
    <row r="237" spans="1:14" x14ac:dyDescent="0.25">
      <c r="A237" s="4">
        <v>233</v>
      </c>
      <c r="B237" s="2" t="str">
        <f>HYPERLINK("https://my.zakupivli.pro/remote/dispatcher/state_purchase_view/40760860", "UA-2023-02-10-000811-a")</f>
        <v>UA-2023-02-10-000811-a</v>
      </c>
      <c r="C237" s="2" t="str">
        <f>HYPERLINK("https://my.zakupivli.pro/remote/dispatcher/state_contracting_view/15583621", "UA-2023-02-10-000811-a-c1")</f>
        <v>UA-2023-02-10-000811-a-c1</v>
      </c>
      <c r="D237" s="1" t="s">
        <v>172</v>
      </c>
      <c r="E237" s="1" t="s">
        <v>1485</v>
      </c>
      <c r="F237" s="1" t="s">
        <v>171</v>
      </c>
      <c r="G237" s="1" t="s">
        <v>1091</v>
      </c>
      <c r="H237" s="1" t="s">
        <v>1308</v>
      </c>
      <c r="I237" s="1" t="s">
        <v>772</v>
      </c>
      <c r="J237" s="1" t="s">
        <v>1228</v>
      </c>
      <c r="K237" s="5">
        <v>6972</v>
      </c>
      <c r="L237" s="6">
        <v>44966</v>
      </c>
      <c r="M237" s="6">
        <v>45291</v>
      </c>
      <c r="N237" s="1" t="s">
        <v>1369</v>
      </c>
    </row>
    <row r="238" spans="1:14" x14ac:dyDescent="0.25">
      <c r="A238" s="4">
        <v>234</v>
      </c>
      <c r="B238" s="2" t="str">
        <f>HYPERLINK("https://my.zakupivli.pro/remote/dispatcher/state_purchase_view/41896540", "UA-2023-04-10-003575-a")</f>
        <v>UA-2023-04-10-003575-a</v>
      </c>
      <c r="C238" s="2" t="str">
        <f>HYPERLINK("https://my.zakupivli.pro/remote/dispatcher/state_contracting_view/16088904", "UA-2023-04-10-003575-a-b1")</f>
        <v>UA-2023-04-10-003575-a-b1</v>
      </c>
      <c r="D238" s="1" t="s">
        <v>967</v>
      </c>
      <c r="E238" s="1" t="s">
        <v>1446</v>
      </c>
      <c r="F238" s="1" t="s">
        <v>966</v>
      </c>
      <c r="G238" s="1" t="s">
        <v>1091</v>
      </c>
      <c r="H238" s="1" t="s">
        <v>1249</v>
      </c>
      <c r="I238" s="1" t="s">
        <v>402</v>
      </c>
      <c r="J238" s="1" t="s">
        <v>32</v>
      </c>
      <c r="K238" s="5">
        <v>17500</v>
      </c>
      <c r="L238" s="6">
        <v>45021</v>
      </c>
      <c r="M238" s="6">
        <v>45291</v>
      </c>
      <c r="N238" s="1" t="s">
        <v>1369</v>
      </c>
    </row>
    <row r="239" spans="1:14" x14ac:dyDescent="0.25">
      <c r="A239" s="4">
        <v>235</v>
      </c>
      <c r="B239" s="2" t="str">
        <f>HYPERLINK("https://my.zakupivli.pro/remote/dispatcher/state_purchase_view/41401656", "UA-2023-03-14-008116-a")</f>
        <v>UA-2023-03-14-008116-a</v>
      </c>
      <c r="C239" s="2" t="str">
        <f>HYPERLINK("https://my.zakupivli.pro/remote/dispatcher/state_contracting_view/15878064", "UA-2023-03-14-008116-a-c1")</f>
        <v>UA-2023-03-14-008116-a-c1</v>
      </c>
      <c r="D239" s="1" t="s">
        <v>835</v>
      </c>
      <c r="E239" s="1" t="s">
        <v>1402</v>
      </c>
      <c r="F239" s="1" t="s">
        <v>832</v>
      </c>
      <c r="G239" s="1" t="s">
        <v>1091</v>
      </c>
      <c r="H239" s="1" t="s">
        <v>1277</v>
      </c>
      <c r="I239" s="1" t="s">
        <v>599</v>
      </c>
      <c r="J239" s="1" t="s">
        <v>49</v>
      </c>
      <c r="K239" s="5">
        <v>63100</v>
      </c>
      <c r="L239" s="6">
        <v>44999</v>
      </c>
      <c r="M239" s="6">
        <v>45291</v>
      </c>
      <c r="N239" s="1" t="s">
        <v>1369</v>
      </c>
    </row>
    <row r="240" spans="1:14" x14ac:dyDescent="0.25">
      <c r="A240" s="4">
        <v>236</v>
      </c>
      <c r="B240" s="2" t="str">
        <f>HYPERLINK("https://my.zakupivli.pro/remote/dispatcher/state_purchase_view/41401016", "UA-2023-03-14-007891-a")</f>
        <v>UA-2023-03-14-007891-a</v>
      </c>
      <c r="C240" s="2" t="str">
        <f>HYPERLINK("https://my.zakupivli.pro/remote/dispatcher/state_contracting_view/15877970", "UA-2023-03-14-007891-a-b1")</f>
        <v>UA-2023-03-14-007891-a-b1</v>
      </c>
      <c r="D240" s="1" t="s">
        <v>981</v>
      </c>
      <c r="E240" s="1" t="s">
        <v>1231</v>
      </c>
      <c r="F240" s="1" t="s">
        <v>980</v>
      </c>
      <c r="G240" s="1" t="s">
        <v>1091</v>
      </c>
      <c r="H240" s="1" t="s">
        <v>1072</v>
      </c>
      <c r="I240" s="1" t="s">
        <v>6</v>
      </c>
      <c r="J240" s="1" t="s">
        <v>45</v>
      </c>
      <c r="K240" s="5">
        <v>2400</v>
      </c>
      <c r="L240" s="6">
        <v>44999</v>
      </c>
      <c r="M240" s="6">
        <v>45291</v>
      </c>
      <c r="N240" s="1" t="s">
        <v>1369</v>
      </c>
    </row>
    <row r="241" spans="1:14" x14ac:dyDescent="0.25">
      <c r="A241" s="4">
        <v>237</v>
      </c>
      <c r="B241" s="2" t="str">
        <f>HYPERLINK("https://my.zakupivli.pro/remote/dispatcher/state_purchase_view/41945174", "UA-2023-04-12-001135-a")</f>
        <v>UA-2023-04-12-001135-a</v>
      </c>
      <c r="C241" s="2" t="str">
        <f>HYPERLINK("https://my.zakupivli.pro/remote/dispatcher/state_contracting_view/16109914", "UA-2023-04-12-001135-a-c1")</f>
        <v>UA-2023-04-12-001135-a-c1</v>
      </c>
      <c r="D241" s="1" t="s">
        <v>559</v>
      </c>
      <c r="E241" s="1" t="s">
        <v>1467</v>
      </c>
      <c r="F241" s="1" t="s">
        <v>557</v>
      </c>
      <c r="G241" s="1" t="s">
        <v>1091</v>
      </c>
      <c r="H241" s="1" t="s">
        <v>1058</v>
      </c>
      <c r="I241" s="1" t="s">
        <v>210</v>
      </c>
      <c r="J241" s="1" t="s">
        <v>69</v>
      </c>
      <c r="K241" s="5">
        <v>29940</v>
      </c>
      <c r="L241" s="6">
        <v>45026</v>
      </c>
      <c r="M241" s="6">
        <v>45291</v>
      </c>
      <c r="N241" s="1" t="s">
        <v>1369</v>
      </c>
    </row>
    <row r="242" spans="1:14" x14ac:dyDescent="0.25">
      <c r="A242" s="4">
        <v>238</v>
      </c>
      <c r="B242" s="2" t="str">
        <f>HYPERLINK("https://my.zakupivli.pro/remote/dispatcher/state_purchase_view/42914052", "UA-2023-05-29-013586-a")</f>
        <v>UA-2023-05-29-013586-a</v>
      </c>
      <c r="C242" s="2" t="str">
        <f>HYPERLINK("https://my.zakupivli.pro/remote/dispatcher/state_contracting_view/16885243", "UA-2023-05-29-013586-a-b1")</f>
        <v>UA-2023-05-29-013586-a-b1</v>
      </c>
      <c r="D242" s="1" t="s">
        <v>666</v>
      </c>
      <c r="E242" s="1" t="s">
        <v>1460</v>
      </c>
      <c r="F242" s="1" t="s">
        <v>668</v>
      </c>
      <c r="G242" s="1" t="s">
        <v>1056</v>
      </c>
      <c r="H242" s="1" t="s">
        <v>1121</v>
      </c>
      <c r="I242" s="1" t="s">
        <v>624</v>
      </c>
      <c r="J242" s="1" t="s">
        <v>269</v>
      </c>
      <c r="K242" s="5">
        <v>111300</v>
      </c>
      <c r="L242" s="6">
        <v>45104</v>
      </c>
      <c r="M242" s="6">
        <v>45291</v>
      </c>
      <c r="N242" s="1" t="s">
        <v>1399</v>
      </c>
    </row>
    <row r="243" spans="1:14" x14ac:dyDescent="0.25">
      <c r="A243" s="4">
        <v>239</v>
      </c>
      <c r="B243" s="2" t="str">
        <f>HYPERLINK("https://my.zakupivli.pro/remote/dispatcher/state_purchase_view/39979539", "UA-2023-01-10-003569-a")</f>
        <v>UA-2023-01-10-003569-a</v>
      </c>
      <c r="C243" s="2" t="str">
        <f>HYPERLINK("https://my.zakupivli.pro/remote/dispatcher/state_contracting_view/15452196", "UA-2023-01-10-003569-a-a1")</f>
        <v>UA-2023-01-10-003569-a-a1</v>
      </c>
      <c r="D243" s="1" t="s">
        <v>1076</v>
      </c>
      <c r="E243" s="1" t="s">
        <v>1036</v>
      </c>
      <c r="F243" s="1" t="s">
        <v>358</v>
      </c>
      <c r="G243" s="1" t="s">
        <v>1056</v>
      </c>
      <c r="H243" s="1" t="s">
        <v>1170</v>
      </c>
      <c r="I243" s="1" t="s">
        <v>496</v>
      </c>
      <c r="J243" s="1" t="s">
        <v>900</v>
      </c>
      <c r="K243" s="5">
        <v>231480</v>
      </c>
      <c r="L243" s="6">
        <v>44957</v>
      </c>
      <c r="M243" s="6">
        <v>45291</v>
      </c>
      <c r="N243" s="1" t="s">
        <v>1399</v>
      </c>
    </row>
    <row r="244" spans="1:14" x14ac:dyDescent="0.25">
      <c r="A244" s="4">
        <v>240</v>
      </c>
      <c r="B244" s="2" t="str">
        <f>HYPERLINK("https://my.zakupivli.pro/remote/dispatcher/state_purchase_view/40915904", "UA-2023-02-16-014245-a")</f>
        <v>UA-2023-02-16-014245-a</v>
      </c>
      <c r="C244" s="2" t="str">
        <f>HYPERLINK("https://my.zakupivli.pro/remote/dispatcher/state_contracting_view/15869047", "UA-2023-02-16-014245-a-c1")</f>
        <v>UA-2023-02-16-014245-a-c1</v>
      </c>
      <c r="D244" s="1" t="s">
        <v>24</v>
      </c>
      <c r="E244" s="1" t="s">
        <v>1164</v>
      </c>
      <c r="F244" s="1" t="s">
        <v>27</v>
      </c>
      <c r="G244" s="1" t="s">
        <v>1056</v>
      </c>
      <c r="H244" s="1" t="s">
        <v>1270</v>
      </c>
      <c r="I244" s="1" t="s">
        <v>550</v>
      </c>
      <c r="J244" s="1" t="s">
        <v>47</v>
      </c>
      <c r="K244" s="5">
        <v>298116</v>
      </c>
      <c r="L244" s="6">
        <v>44998</v>
      </c>
      <c r="M244" s="6">
        <v>45291</v>
      </c>
      <c r="N244" s="1" t="s">
        <v>1399</v>
      </c>
    </row>
    <row r="245" spans="1:14" x14ac:dyDescent="0.25">
      <c r="A245" s="4">
        <v>241</v>
      </c>
      <c r="B245" s="2" t="str">
        <f>HYPERLINK("https://my.zakupivli.pro/remote/dispatcher/state_purchase_view/40997948", "UA-2023-02-21-009282-a")</f>
        <v>UA-2023-02-21-009282-a</v>
      </c>
      <c r="C245" s="2" t="str">
        <f>HYPERLINK("https://my.zakupivli.pro/remote/dispatcher/state_contracting_view/15695888", "UA-2023-02-21-009282-a-c1")</f>
        <v>UA-2023-02-21-009282-a-c1</v>
      </c>
      <c r="D245" s="1" t="s">
        <v>747</v>
      </c>
      <c r="E245" s="1" t="s">
        <v>1373</v>
      </c>
      <c r="F245" s="1" t="s">
        <v>744</v>
      </c>
      <c r="G245" s="1" t="s">
        <v>1091</v>
      </c>
      <c r="H245" s="1" t="s">
        <v>1271</v>
      </c>
      <c r="I245" s="1" t="s">
        <v>425</v>
      </c>
      <c r="J245" s="1" t="s">
        <v>55</v>
      </c>
      <c r="K245" s="5">
        <v>6864</v>
      </c>
      <c r="L245" s="6">
        <v>44977</v>
      </c>
      <c r="M245" s="6">
        <v>45291</v>
      </c>
      <c r="N245" s="1" t="s">
        <v>1369</v>
      </c>
    </row>
    <row r="246" spans="1:14" x14ac:dyDescent="0.25">
      <c r="A246" s="4">
        <v>242</v>
      </c>
      <c r="B246" s="2" t="str">
        <f>HYPERLINK("https://my.zakupivli.pro/remote/dispatcher/state_purchase_view/40004294", "UA-2023-01-12-000344-a")</f>
        <v>UA-2023-01-12-000344-a</v>
      </c>
      <c r="C246" s="2" t="str">
        <f>HYPERLINK("https://my.zakupivli.pro/remote/dispatcher/state_contracting_view/15557264", "UA-2023-01-12-000344-a-b1")</f>
        <v>UA-2023-01-12-000344-a-b1</v>
      </c>
      <c r="D246" s="1" t="s">
        <v>784</v>
      </c>
      <c r="E246" s="1" t="s">
        <v>1484</v>
      </c>
      <c r="F246" s="1" t="s">
        <v>782</v>
      </c>
      <c r="G246" s="1" t="s">
        <v>1056</v>
      </c>
      <c r="H246" s="1" t="s">
        <v>1320</v>
      </c>
      <c r="I246" s="1" t="s">
        <v>345</v>
      </c>
      <c r="J246" s="1" t="s">
        <v>953</v>
      </c>
      <c r="K246" s="5">
        <v>134133</v>
      </c>
      <c r="L246" s="6">
        <v>44964</v>
      </c>
      <c r="M246" s="6">
        <v>45291</v>
      </c>
      <c r="N246" s="1" t="s">
        <v>1399</v>
      </c>
    </row>
    <row r="247" spans="1:14" x14ac:dyDescent="0.25">
      <c r="A247" s="4">
        <v>243</v>
      </c>
      <c r="B247" s="2" t="str">
        <f>HYPERLINK("https://my.zakupivli.pro/remote/dispatcher/state_purchase_view/40149498", "UA-2023-01-18-011494-a")</f>
        <v>UA-2023-01-18-011494-a</v>
      </c>
      <c r="C247" s="2" t="str">
        <f>HYPERLINK("https://my.zakupivli.pro/remote/dispatcher/state_contracting_view/15550508", "UA-2023-01-18-011494-a-a1")</f>
        <v>UA-2023-01-18-011494-a-a1</v>
      </c>
      <c r="D247" s="1" t="s">
        <v>777</v>
      </c>
      <c r="E247" s="1" t="s">
        <v>1349</v>
      </c>
      <c r="F247" s="1" t="s">
        <v>776</v>
      </c>
      <c r="G247" s="1" t="s">
        <v>1056</v>
      </c>
      <c r="H247" s="1" t="s">
        <v>1273</v>
      </c>
      <c r="I247" s="1" t="s">
        <v>696</v>
      </c>
      <c r="J247" s="1" t="s">
        <v>954</v>
      </c>
      <c r="K247" s="5">
        <v>276804</v>
      </c>
      <c r="L247" s="6">
        <v>44964</v>
      </c>
      <c r="M247" s="6">
        <v>45291</v>
      </c>
      <c r="N247" s="1" t="s">
        <v>1399</v>
      </c>
    </row>
    <row r="248" spans="1:14" x14ac:dyDescent="0.25">
      <c r="A248" s="4">
        <v>244</v>
      </c>
      <c r="B248" s="2" t="str">
        <f>HYPERLINK("https://my.zakupivli.pro/remote/dispatcher/state_purchase_view/40053340", "UA-2023-01-13-008816-a")</f>
        <v>UA-2023-01-13-008816-a</v>
      </c>
      <c r="C248" s="2" t="str">
        <f>HYPERLINK("https://my.zakupivli.pro/remote/dispatcher/state_contracting_view/15257548", "UA-2023-01-13-008816-a-b1")</f>
        <v>UA-2023-01-13-008816-a-b1</v>
      </c>
      <c r="D248" s="1" t="s">
        <v>908</v>
      </c>
      <c r="E248" s="1" t="s">
        <v>1198</v>
      </c>
      <c r="F248" s="1" t="s">
        <v>909</v>
      </c>
      <c r="G248" s="1" t="s">
        <v>1091</v>
      </c>
      <c r="H248" s="1" t="s">
        <v>1130</v>
      </c>
      <c r="I248" s="1" t="s">
        <v>360</v>
      </c>
      <c r="J248" s="1" t="s">
        <v>1361</v>
      </c>
      <c r="K248" s="5">
        <v>403464.48</v>
      </c>
      <c r="L248" s="6">
        <v>44937</v>
      </c>
      <c r="M248" s="6">
        <v>45291</v>
      </c>
      <c r="N248" s="1" t="s">
        <v>1369</v>
      </c>
    </row>
    <row r="249" spans="1:14" x14ac:dyDescent="0.25">
      <c r="A249" s="4">
        <v>245</v>
      </c>
      <c r="B249" s="2" t="str">
        <f>HYPERLINK("https://my.zakupivli.pro/remote/dispatcher/state_purchase_view/40050632", "UA-2023-01-13-007574-a")</f>
        <v>UA-2023-01-13-007574-a</v>
      </c>
      <c r="C249" s="2" t="str">
        <f>HYPERLINK("https://my.zakupivli.pro/remote/dispatcher/state_contracting_view/15256261", "UA-2023-01-13-007574-a-b1")</f>
        <v>UA-2023-01-13-007574-a-b1</v>
      </c>
      <c r="D249" s="1" t="s">
        <v>907</v>
      </c>
      <c r="E249" s="1" t="s">
        <v>1199</v>
      </c>
      <c r="F249" s="1" t="s">
        <v>909</v>
      </c>
      <c r="G249" s="1" t="s">
        <v>1091</v>
      </c>
      <c r="H249" s="1" t="s">
        <v>1130</v>
      </c>
      <c r="I249" s="1" t="s">
        <v>360</v>
      </c>
      <c r="J249" s="1" t="s">
        <v>1359</v>
      </c>
      <c r="K249" s="5">
        <v>7591.92</v>
      </c>
      <c r="L249" s="6">
        <v>44937</v>
      </c>
      <c r="M249" s="6">
        <v>45291</v>
      </c>
      <c r="N249" s="1" t="s">
        <v>1369</v>
      </c>
    </row>
    <row r="250" spans="1:14" x14ac:dyDescent="0.25">
      <c r="A250" s="4">
        <v>246</v>
      </c>
      <c r="B250" s="2" t="str">
        <f>HYPERLINK("https://my.zakupivli.pro/remote/dispatcher/state_purchase_view/41606145", "UA-2023-03-23-010690-a")</f>
        <v>UA-2023-03-23-010690-a</v>
      </c>
      <c r="C250" s="2" t="str">
        <f>HYPERLINK("https://my.zakupivli.pro/remote/dispatcher/state_contracting_view/15964511", "UA-2023-03-23-010690-a-b1")</f>
        <v>UA-2023-03-23-010690-a-b1</v>
      </c>
      <c r="D250" s="1" t="s">
        <v>735</v>
      </c>
      <c r="E250" s="1" t="s">
        <v>1163</v>
      </c>
      <c r="F250" s="1" t="s">
        <v>734</v>
      </c>
      <c r="G250" s="1" t="s">
        <v>1091</v>
      </c>
      <c r="H250" s="1" t="s">
        <v>1172</v>
      </c>
      <c r="I250" s="1" t="s">
        <v>2</v>
      </c>
      <c r="J250" s="1" t="s">
        <v>56</v>
      </c>
      <c r="K250" s="5">
        <v>3299997.6</v>
      </c>
      <c r="L250" s="6">
        <v>45008</v>
      </c>
      <c r="M250" s="6">
        <v>45291</v>
      </c>
      <c r="N250" s="1" t="s">
        <v>1369</v>
      </c>
    </row>
    <row r="251" spans="1:14" x14ac:dyDescent="0.25">
      <c r="A251" s="4">
        <v>247</v>
      </c>
      <c r="B251" s="2" t="str">
        <f>HYPERLINK("https://my.zakupivli.pro/remote/dispatcher/state_purchase_view/41575446", "UA-2023-03-22-009512-a")</f>
        <v>UA-2023-03-22-009512-a</v>
      </c>
      <c r="C251" s="2" t="str">
        <f>HYPERLINK("https://my.zakupivli.pro/remote/dispatcher/state_contracting_view/15951719", "UA-2023-03-22-009512-a-c1")</f>
        <v>UA-2023-03-22-009512-a-c1</v>
      </c>
      <c r="D251" s="1" t="s">
        <v>588</v>
      </c>
      <c r="E251" s="1" t="s">
        <v>1429</v>
      </c>
      <c r="F251" s="1" t="s">
        <v>586</v>
      </c>
      <c r="G251" s="1" t="s">
        <v>1091</v>
      </c>
      <c r="H251" s="1" t="s">
        <v>1148</v>
      </c>
      <c r="I251" s="1" t="s">
        <v>282</v>
      </c>
      <c r="J251" s="1" t="s">
        <v>53</v>
      </c>
      <c r="K251" s="5">
        <v>7203.75</v>
      </c>
      <c r="L251" s="6">
        <v>45007</v>
      </c>
      <c r="M251" s="6">
        <v>45291</v>
      </c>
      <c r="N251" s="1" t="s">
        <v>1369</v>
      </c>
    </row>
    <row r="252" spans="1:14" x14ac:dyDescent="0.25">
      <c r="A252" s="4">
        <v>248</v>
      </c>
      <c r="B252" s="2" t="str">
        <f>HYPERLINK("https://my.zakupivli.pro/remote/dispatcher/state_purchase_view/41310426", "UA-2023-03-09-003585-a")</f>
        <v>UA-2023-03-09-003585-a</v>
      </c>
      <c r="C252" s="2" t="str">
        <f>HYPERLINK("https://my.zakupivli.pro/remote/dispatcher/state_contracting_view/15838628", "UA-2023-03-09-003585-a-a1")</f>
        <v>UA-2023-03-09-003585-a-a1</v>
      </c>
      <c r="D252" s="1" t="s">
        <v>633</v>
      </c>
      <c r="E252" s="1" t="s">
        <v>1423</v>
      </c>
      <c r="F252" s="1" t="s">
        <v>630</v>
      </c>
      <c r="G252" s="1" t="s">
        <v>1091</v>
      </c>
      <c r="H252" s="1" t="s">
        <v>1177</v>
      </c>
      <c r="I252" s="1" t="s">
        <v>498</v>
      </c>
      <c r="J252" s="1" t="s">
        <v>44</v>
      </c>
      <c r="K252" s="5">
        <v>50742</v>
      </c>
      <c r="L252" s="6">
        <v>44993</v>
      </c>
      <c r="M252" s="6">
        <v>45291</v>
      </c>
      <c r="N252" s="1" t="s">
        <v>1369</v>
      </c>
    </row>
    <row r="253" spans="1:14" x14ac:dyDescent="0.25">
      <c r="A253" s="4">
        <v>249</v>
      </c>
      <c r="B253" s="2" t="str">
        <f>HYPERLINK("https://my.zakupivli.pro/remote/dispatcher/state_purchase_view/45630974", "UA-2023-10-04-006744-a")</f>
        <v>UA-2023-10-04-006744-a</v>
      </c>
      <c r="C253" s="2" t="str">
        <f>HYPERLINK("https://my.zakupivli.pro/remote/dispatcher/state_contracting_view/17739943", "UA-2023-10-04-006744-a-a1")</f>
        <v>UA-2023-10-04-006744-a-a1</v>
      </c>
      <c r="D253" s="1" t="s">
        <v>1007</v>
      </c>
      <c r="E253" s="1" t="s">
        <v>1442</v>
      </c>
      <c r="F253" s="1" t="s">
        <v>1003</v>
      </c>
      <c r="G253" s="1" t="s">
        <v>1091</v>
      </c>
      <c r="H253" s="1" t="s">
        <v>1101</v>
      </c>
      <c r="I253" s="1" t="s">
        <v>424</v>
      </c>
      <c r="J253" s="1" t="s">
        <v>979</v>
      </c>
      <c r="K253" s="5">
        <v>30000</v>
      </c>
      <c r="L253" s="6">
        <v>45201</v>
      </c>
      <c r="M253" s="6">
        <v>45291</v>
      </c>
      <c r="N253" s="1" t="s">
        <v>1369</v>
      </c>
    </row>
    <row r="254" spans="1:14" x14ac:dyDescent="0.25">
      <c r="A254" s="4">
        <v>250</v>
      </c>
      <c r="B254" s="2" t="str">
        <f>HYPERLINK("https://my.zakupivli.pro/remote/dispatcher/state_purchase_view/47533022", "UA-2023-12-12-015122-a")</f>
        <v>UA-2023-12-12-015122-a</v>
      </c>
      <c r="C254" s="2" t="str">
        <f>HYPERLINK("https://my.zakupivli.pro/remote/dispatcher/state_contracting_view/18545300", "UA-2023-12-12-015122-a-a1")</f>
        <v>UA-2023-12-12-015122-a-a1</v>
      </c>
      <c r="D254" s="1" t="s">
        <v>29</v>
      </c>
      <c r="E254" s="1" t="s">
        <v>1396</v>
      </c>
      <c r="F254" s="1" t="s">
        <v>28</v>
      </c>
      <c r="G254" s="1" t="s">
        <v>1091</v>
      </c>
      <c r="H254" s="1" t="s">
        <v>1071</v>
      </c>
      <c r="I254" s="1" t="s">
        <v>133</v>
      </c>
      <c r="J254" s="1" t="s">
        <v>871</v>
      </c>
      <c r="K254" s="5">
        <v>3512277.22</v>
      </c>
      <c r="L254" s="6">
        <v>45272</v>
      </c>
      <c r="M254" s="6">
        <v>45291</v>
      </c>
      <c r="N254" s="1" t="s">
        <v>1369</v>
      </c>
    </row>
    <row r="255" spans="1:14" x14ac:dyDescent="0.25">
      <c r="A255" s="4">
        <v>251</v>
      </c>
      <c r="B255" s="2" t="str">
        <f>HYPERLINK("https://my.zakupivli.pro/remote/dispatcher/state_purchase_view/47012592", "UA-2023-11-27-008038-a")</f>
        <v>UA-2023-11-27-008038-a</v>
      </c>
      <c r="C255" s="2" t="str">
        <f>HYPERLINK("https://my.zakupivli.pro/remote/dispatcher/state_contracting_view/18328217", "UA-2023-11-27-008038-a-b1")</f>
        <v>UA-2023-11-27-008038-a-b1</v>
      </c>
      <c r="D255" s="1" t="s">
        <v>862</v>
      </c>
      <c r="E255" s="1" t="s">
        <v>1401</v>
      </c>
      <c r="F255" s="1" t="s">
        <v>861</v>
      </c>
      <c r="G255" s="1" t="s">
        <v>1091</v>
      </c>
      <c r="H255" s="1" t="s">
        <v>1030</v>
      </c>
      <c r="I255" s="1" t="s">
        <v>207</v>
      </c>
      <c r="J255" s="1" t="s">
        <v>1327</v>
      </c>
      <c r="K255" s="5">
        <v>556.72</v>
      </c>
      <c r="L255" s="6">
        <v>45254</v>
      </c>
      <c r="M255" s="6">
        <v>45291</v>
      </c>
      <c r="N255" s="1" t="s">
        <v>1369</v>
      </c>
    </row>
    <row r="256" spans="1:14" x14ac:dyDescent="0.25">
      <c r="A256" s="4">
        <v>252</v>
      </c>
      <c r="B256" s="2" t="str">
        <f>HYPERLINK("https://my.zakupivli.pro/remote/dispatcher/state_purchase_view/42692214", "UA-2023-05-18-011778-a")</f>
        <v>UA-2023-05-18-011778-a</v>
      </c>
      <c r="C256" s="2" t="str">
        <f>HYPERLINK("https://my.zakupivli.pro/remote/dispatcher/state_contracting_view/16445895", "UA-2023-05-18-011778-a-c1")</f>
        <v>UA-2023-05-18-011778-a-c1</v>
      </c>
      <c r="D256" s="1" t="s">
        <v>572</v>
      </c>
      <c r="E256" s="1" t="s">
        <v>1468</v>
      </c>
      <c r="F256" s="1" t="s">
        <v>571</v>
      </c>
      <c r="G256" s="1" t="s">
        <v>1091</v>
      </c>
      <c r="H256" s="1" t="s">
        <v>1043</v>
      </c>
      <c r="I256" s="1" t="s">
        <v>279</v>
      </c>
      <c r="J256" s="1" t="s">
        <v>159</v>
      </c>
      <c r="K256" s="5">
        <v>49383</v>
      </c>
      <c r="L256" s="6">
        <v>45061</v>
      </c>
      <c r="M256" s="6">
        <v>45291</v>
      </c>
      <c r="N256" s="1" t="s">
        <v>1369</v>
      </c>
    </row>
    <row r="257" spans="1:14" x14ac:dyDescent="0.25">
      <c r="A257" s="4">
        <v>253</v>
      </c>
      <c r="B257" s="2" t="str">
        <f>HYPERLINK("https://my.zakupivli.pro/remote/dispatcher/state_purchase_view/43498184", "UA-2023-06-22-014703-a")</f>
        <v>UA-2023-06-22-014703-a</v>
      </c>
      <c r="C257" s="2" t="str">
        <f>HYPERLINK("https://my.zakupivli.pro/remote/dispatcher/state_contracting_view/16821947", "UA-2023-06-22-014703-a-b1")</f>
        <v>UA-2023-06-22-014703-a-b1</v>
      </c>
      <c r="D257" s="1" t="s">
        <v>678</v>
      </c>
      <c r="E257" s="1" t="s">
        <v>1434</v>
      </c>
      <c r="F257" s="1" t="s">
        <v>677</v>
      </c>
      <c r="G257" s="1" t="s">
        <v>1091</v>
      </c>
      <c r="H257" s="1" t="s">
        <v>1265</v>
      </c>
      <c r="I257" s="1" t="s">
        <v>551</v>
      </c>
      <c r="J257" s="1" t="s">
        <v>260</v>
      </c>
      <c r="K257" s="5">
        <v>6280</v>
      </c>
      <c r="L257" s="6">
        <v>45099</v>
      </c>
      <c r="M257" s="6">
        <v>45291</v>
      </c>
      <c r="N257" s="1" t="s">
        <v>1369</v>
      </c>
    </row>
    <row r="258" spans="1:14" x14ac:dyDescent="0.25">
      <c r="A258" s="4">
        <v>254</v>
      </c>
      <c r="B258" s="2" t="str">
        <f>HYPERLINK("https://my.zakupivli.pro/remote/dispatcher/state_purchase_view/45137349", "UA-2023-09-13-003961-a")</f>
        <v>UA-2023-09-13-003961-a</v>
      </c>
      <c r="C258" s="2" t="str">
        <f>HYPERLINK("https://my.zakupivli.pro/remote/dispatcher/state_contracting_view/17531219", "UA-2023-09-13-003961-a-c1")</f>
        <v>UA-2023-09-13-003961-a-c1</v>
      </c>
      <c r="D258" s="1" t="s">
        <v>434</v>
      </c>
      <c r="E258" s="1" t="s">
        <v>436</v>
      </c>
      <c r="F258" s="1" t="s">
        <v>435</v>
      </c>
      <c r="G258" s="1" t="s">
        <v>1091</v>
      </c>
      <c r="H258" s="1" t="s">
        <v>1243</v>
      </c>
      <c r="I258" s="1" t="s">
        <v>259</v>
      </c>
      <c r="J258" s="1" t="s">
        <v>642</v>
      </c>
      <c r="K258" s="5">
        <v>3480</v>
      </c>
      <c r="L258" s="6">
        <v>45182</v>
      </c>
      <c r="M258" s="6">
        <v>45291</v>
      </c>
      <c r="N258" s="1" t="s">
        <v>1369</v>
      </c>
    </row>
    <row r="259" spans="1:14" x14ac:dyDescent="0.25">
      <c r="A259" s="4">
        <v>255</v>
      </c>
      <c r="B259" s="2" t="str">
        <f>HYPERLINK("https://my.zakupivli.pro/remote/dispatcher/state_purchase_view/44949626", "UA-2023-09-05-008530-a")</f>
        <v>UA-2023-09-05-008530-a</v>
      </c>
      <c r="C259" s="2" t="str">
        <f>HYPERLINK("https://my.zakupivli.pro/remote/dispatcher/state_contracting_view/17451188", "UA-2023-09-05-008530-a-a1")</f>
        <v>UA-2023-09-05-008530-a-a1</v>
      </c>
      <c r="D259" s="1" t="s">
        <v>325</v>
      </c>
      <c r="E259" s="1" t="s">
        <v>327</v>
      </c>
      <c r="F259" s="1" t="s">
        <v>326</v>
      </c>
      <c r="G259" s="1" t="s">
        <v>1091</v>
      </c>
      <c r="H259" s="1" t="s">
        <v>1269</v>
      </c>
      <c r="I259" s="1" t="s">
        <v>652</v>
      </c>
      <c r="J259" s="1" t="s">
        <v>619</v>
      </c>
      <c r="K259" s="5">
        <v>1808350</v>
      </c>
      <c r="L259" s="6">
        <v>45174</v>
      </c>
      <c r="M259" s="6">
        <v>45291</v>
      </c>
      <c r="N259" s="1" t="s">
        <v>1369</v>
      </c>
    </row>
    <row r="260" spans="1:14" x14ac:dyDescent="0.25">
      <c r="A260" s="4">
        <v>256</v>
      </c>
      <c r="B260" s="2" t="str">
        <f>HYPERLINK("https://my.zakupivli.pro/remote/dispatcher/state_purchase_view/45196978", "UA-2023-09-15-000458-a")</f>
        <v>UA-2023-09-15-000458-a</v>
      </c>
      <c r="C260" s="2" t="str">
        <f>HYPERLINK("https://my.zakupivli.pro/remote/dispatcher/state_contracting_view/17560098", "UA-2023-09-15-000458-a-b1")</f>
        <v>UA-2023-09-15-000458-a-b1</v>
      </c>
      <c r="D260" s="1" t="s">
        <v>609</v>
      </c>
      <c r="E260" s="1" t="s">
        <v>1380</v>
      </c>
      <c r="F260" s="1" t="s">
        <v>611</v>
      </c>
      <c r="G260" s="1" t="s">
        <v>1091</v>
      </c>
      <c r="H260" s="1" t="s">
        <v>1177</v>
      </c>
      <c r="I260" s="1" t="s">
        <v>498</v>
      </c>
      <c r="J260" s="1" t="s">
        <v>643</v>
      </c>
      <c r="K260" s="5">
        <v>21672</v>
      </c>
      <c r="L260" s="6">
        <v>45182</v>
      </c>
      <c r="M260" s="6">
        <v>45291</v>
      </c>
      <c r="N260" s="1" t="s">
        <v>1369</v>
      </c>
    </row>
    <row r="261" spans="1:14" x14ac:dyDescent="0.25">
      <c r="A261" s="4">
        <v>257</v>
      </c>
      <c r="B261" s="2" t="str">
        <f>HYPERLINK("https://my.zakupivli.pro/remote/dispatcher/state_purchase_view/46226940", "UA-2023-10-27-007126-a")</f>
        <v>UA-2023-10-27-007126-a</v>
      </c>
      <c r="C261" s="2" t="str">
        <f>HYPERLINK("https://my.zakupivli.pro/remote/dispatcher/state_contracting_view/17994609", "UA-2023-10-27-007126-a-a1")</f>
        <v>UA-2023-10-27-007126-a-a1</v>
      </c>
      <c r="D261" s="1" t="s">
        <v>442</v>
      </c>
      <c r="E261" s="1" t="s">
        <v>444</v>
      </c>
      <c r="F261" s="1" t="s">
        <v>443</v>
      </c>
      <c r="G261" s="1" t="s">
        <v>1091</v>
      </c>
      <c r="H261" s="1" t="s">
        <v>1177</v>
      </c>
      <c r="I261" s="1" t="s">
        <v>498</v>
      </c>
      <c r="J261" s="1" t="s">
        <v>799</v>
      </c>
      <c r="K261" s="5">
        <v>48750</v>
      </c>
      <c r="L261" s="6">
        <v>45225</v>
      </c>
      <c r="M261" s="6">
        <v>45291</v>
      </c>
      <c r="N261" s="1" t="s">
        <v>1369</v>
      </c>
    </row>
    <row r="262" spans="1:14" x14ac:dyDescent="0.25">
      <c r="A262" s="4">
        <v>258</v>
      </c>
      <c r="B262" s="2" t="str">
        <f>HYPERLINK("https://my.zakupivli.pro/remote/dispatcher/state_purchase_view/43119523", "UA-2023-06-07-009975-a")</f>
        <v>UA-2023-06-07-009975-a</v>
      </c>
      <c r="C262" s="2" t="str">
        <f>HYPERLINK("https://my.zakupivli.pro/remote/dispatcher/state_contracting_view/16640906", "UA-2023-06-07-009975-a-a1")</f>
        <v>UA-2023-06-07-009975-a-a1</v>
      </c>
      <c r="D262" s="1" t="s">
        <v>303</v>
      </c>
      <c r="E262" s="1" t="s">
        <v>1426</v>
      </c>
      <c r="F262" s="1" t="s">
        <v>309</v>
      </c>
      <c r="G262" s="1" t="s">
        <v>1091</v>
      </c>
      <c r="H262" s="1" t="s">
        <v>1339</v>
      </c>
      <c r="I262" s="1" t="s">
        <v>249</v>
      </c>
      <c r="J262" s="1" t="s">
        <v>217</v>
      </c>
      <c r="K262" s="5">
        <v>9032</v>
      </c>
      <c r="L262" s="6">
        <v>45084</v>
      </c>
      <c r="M262" s="6">
        <v>45291</v>
      </c>
      <c r="N262" s="1" t="s">
        <v>1369</v>
      </c>
    </row>
    <row r="263" spans="1:14" x14ac:dyDescent="0.25">
      <c r="A263" s="4">
        <v>259</v>
      </c>
      <c r="B263" s="2" t="str">
        <f>HYPERLINK("https://my.zakupivli.pro/remote/dispatcher/state_purchase_view/42021150", "UA-2023-04-17-002939-a")</f>
        <v>UA-2023-04-17-002939-a</v>
      </c>
      <c r="C263" s="2" t="str">
        <f>HYPERLINK("https://my.zakupivli.pro/remote/dispatcher/state_contracting_view/16142879", "UA-2023-04-17-002939-a-b1")</f>
        <v>UA-2023-04-17-002939-a-b1</v>
      </c>
      <c r="D263" s="1" t="s">
        <v>184</v>
      </c>
      <c r="E263" s="1" t="s">
        <v>1376</v>
      </c>
      <c r="F263" s="1" t="s">
        <v>183</v>
      </c>
      <c r="G263" s="1" t="s">
        <v>1091</v>
      </c>
      <c r="H263" s="1" t="s">
        <v>1149</v>
      </c>
      <c r="I263" s="1" t="s">
        <v>230</v>
      </c>
      <c r="J263" s="1" t="s">
        <v>75</v>
      </c>
      <c r="K263" s="5">
        <v>5500</v>
      </c>
      <c r="L263" s="6">
        <v>45030</v>
      </c>
      <c r="M263" s="6">
        <v>45291</v>
      </c>
      <c r="N263" s="1" t="s">
        <v>1369</v>
      </c>
    </row>
    <row r="264" spans="1:14" x14ac:dyDescent="0.25">
      <c r="A264" s="4">
        <v>260</v>
      </c>
      <c r="B264" s="2" t="str">
        <f>HYPERLINK("https://my.zakupivli.pro/remote/dispatcher/state_purchase_view/42071084", "UA-2023-04-19-007214-a")</f>
        <v>UA-2023-04-19-007214-a</v>
      </c>
      <c r="C264" s="2" t="str">
        <f>HYPERLINK("https://my.zakupivli.pro/remote/dispatcher/state_contracting_view/16164351", "UA-2023-04-19-007214-a-a1")</f>
        <v>UA-2023-04-19-007214-a-a1</v>
      </c>
      <c r="D264" s="1" t="s">
        <v>88</v>
      </c>
      <c r="E264" s="1" t="s">
        <v>1235</v>
      </c>
      <c r="F264" s="1" t="s">
        <v>87</v>
      </c>
      <c r="G264" s="1" t="s">
        <v>1091</v>
      </c>
      <c r="H264" s="1" t="s">
        <v>1281</v>
      </c>
      <c r="I264" s="1" t="s">
        <v>647</v>
      </c>
      <c r="J264" s="1" t="s">
        <v>113</v>
      </c>
      <c r="K264" s="5">
        <v>498200</v>
      </c>
      <c r="L264" s="6">
        <v>45035</v>
      </c>
      <c r="M264" s="6">
        <v>45291</v>
      </c>
      <c r="N264" s="1" t="s">
        <v>1369</v>
      </c>
    </row>
    <row r="265" spans="1:14" x14ac:dyDescent="0.25">
      <c r="A265" s="4">
        <v>261</v>
      </c>
      <c r="B265" s="2" t="str">
        <f>HYPERLINK("https://my.zakupivli.pro/remote/dispatcher/state_purchase_view/42693937", "UA-2023-05-18-012679-a")</f>
        <v>UA-2023-05-18-012679-a</v>
      </c>
      <c r="C265" s="2" t="str">
        <f>HYPERLINK("https://my.zakupivli.pro/remote/dispatcher/state_contracting_view/16446843", "UA-2023-05-18-012679-a-c1")</f>
        <v>UA-2023-05-18-012679-a-c1</v>
      </c>
      <c r="D265" s="1" t="s">
        <v>719</v>
      </c>
      <c r="E265" s="1" t="s">
        <v>1478</v>
      </c>
      <c r="F265" s="1" t="s">
        <v>718</v>
      </c>
      <c r="G265" s="1" t="s">
        <v>1091</v>
      </c>
      <c r="H265" s="1" t="s">
        <v>1263</v>
      </c>
      <c r="I265" s="1" t="s">
        <v>517</v>
      </c>
      <c r="J265" s="1" t="s">
        <v>166</v>
      </c>
      <c r="K265" s="5">
        <v>57778.080000000002</v>
      </c>
      <c r="L265" s="6">
        <v>45063</v>
      </c>
      <c r="M265" s="6">
        <v>45291</v>
      </c>
      <c r="N265" s="1" t="s">
        <v>1369</v>
      </c>
    </row>
    <row r="266" spans="1:14" x14ac:dyDescent="0.25">
      <c r="A266" s="4">
        <v>262</v>
      </c>
      <c r="B266" s="2" t="str">
        <f>HYPERLINK("https://my.zakupivli.pro/remote/dispatcher/state_purchase_view/43800954", "UA-2023-07-07-009636-a")</f>
        <v>UA-2023-07-07-009636-a</v>
      </c>
      <c r="C266" s="2" t="str">
        <f>HYPERLINK("https://my.zakupivli.pro/remote/dispatcher/state_contracting_view/16956475", "UA-2023-07-07-009636-a-c1")</f>
        <v>UA-2023-07-07-009636-a-c1</v>
      </c>
      <c r="D266" s="1" t="s">
        <v>935</v>
      </c>
      <c r="E266" s="1" t="s">
        <v>1420</v>
      </c>
      <c r="F266" s="1" t="s">
        <v>933</v>
      </c>
      <c r="G266" s="1" t="s">
        <v>1091</v>
      </c>
      <c r="H266" s="1" t="s">
        <v>1070</v>
      </c>
      <c r="I266" s="1" t="s">
        <v>10</v>
      </c>
      <c r="J266" s="1" t="s">
        <v>957</v>
      </c>
      <c r="K266" s="5">
        <v>49000</v>
      </c>
      <c r="L266" s="6">
        <v>45111</v>
      </c>
      <c r="M266" s="6">
        <v>45291</v>
      </c>
      <c r="N266" s="1" t="s">
        <v>1369</v>
      </c>
    </row>
    <row r="267" spans="1:14" x14ac:dyDescent="0.25">
      <c r="A267" s="4">
        <v>263</v>
      </c>
      <c r="B267" s="2" t="str">
        <f>HYPERLINK("https://my.zakupivli.pro/remote/dispatcher/state_purchase_view/42438468", "UA-2023-05-08-010216-a")</f>
        <v>UA-2023-05-08-010216-a</v>
      </c>
      <c r="C267" s="2" t="str">
        <f>HYPERLINK("https://my.zakupivli.pro/remote/dispatcher/state_contracting_view/16329349", "UA-2023-05-08-010216-a-a1")</f>
        <v>UA-2023-05-08-010216-a-a1</v>
      </c>
      <c r="D267" s="1" t="s">
        <v>482</v>
      </c>
      <c r="E267" s="1" t="s">
        <v>1403</v>
      </c>
      <c r="F267" s="1" t="s">
        <v>481</v>
      </c>
      <c r="G267" s="1" t="s">
        <v>1091</v>
      </c>
      <c r="H267" s="1" t="s">
        <v>1256</v>
      </c>
      <c r="I267" s="1" t="s">
        <v>693</v>
      </c>
      <c r="J267" s="1" t="s">
        <v>148</v>
      </c>
      <c r="K267" s="5">
        <v>1500</v>
      </c>
      <c r="L267" s="6">
        <v>45054</v>
      </c>
      <c r="M267" s="6">
        <v>45291</v>
      </c>
      <c r="N267" s="1" t="s">
        <v>1369</v>
      </c>
    </row>
    <row r="268" spans="1:14" x14ac:dyDescent="0.25">
      <c r="A268" s="4">
        <v>264</v>
      </c>
      <c r="B268" s="2" t="str">
        <f>HYPERLINK("https://my.zakupivli.pro/remote/dispatcher/state_purchase_view/39940648", "UA-2023-01-05-003826-a")</f>
        <v>UA-2023-01-05-003826-a</v>
      </c>
      <c r="C268" s="2" t="str">
        <f>HYPERLINK("https://my.zakupivli.pro/remote/dispatcher/state_contracting_view/15377516", "UA-2023-01-05-003826-a-c1")</f>
        <v>UA-2023-01-05-003826-a-c1</v>
      </c>
      <c r="D268" s="1" t="s">
        <v>656</v>
      </c>
      <c r="E268" s="1" t="s">
        <v>1113</v>
      </c>
      <c r="F268" s="1" t="s">
        <v>658</v>
      </c>
      <c r="G268" s="1" t="s">
        <v>1056</v>
      </c>
      <c r="H268" s="1" t="s">
        <v>1167</v>
      </c>
      <c r="I268" s="1" t="s">
        <v>663</v>
      </c>
      <c r="J268" s="1" t="s">
        <v>872</v>
      </c>
      <c r="K268" s="5">
        <v>248520</v>
      </c>
      <c r="L268" s="6">
        <v>44951</v>
      </c>
      <c r="M268" s="6">
        <v>45291</v>
      </c>
      <c r="N268" s="1" t="s">
        <v>1399</v>
      </c>
    </row>
    <row r="269" spans="1:14" x14ac:dyDescent="0.25">
      <c r="A269" s="4">
        <v>265</v>
      </c>
      <c r="B269" s="2" t="str">
        <f>HYPERLINK("https://my.zakupivli.pro/remote/dispatcher/state_purchase_view/42829789", "UA-2023-05-25-002356-a")</f>
        <v>UA-2023-05-25-002356-a</v>
      </c>
      <c r="C269" s="2" t="str">
        <f>HYPERLINK("https://my.zakupivli.pro/remote/dispatcher/state_contracting_view/16815978", "UA-2023-05-25-002356-a-b1")</f>
        <v>UA-2023-05-25-002356-a-b1</v>
      </c>
      <c r="D269" s="1" t="s">
        <v>741</v>
      </c>
      <c r="E269" s="1" t="s">
        <v>1457</v>
      </c>
      <c r="F269" s="1" t="s">
        <v>738</v>
      </c>
      <c r="G269" s="1" t="s">
        <v>1056</v>
      </c>
      <c r="H269" s="1" t="s">
        <v>1310</v>
      </c>
      <c r="I269" s="1" t="s">
        <v>63</v>
      </c>
      <c r="J269" s="1" t="s">
        <v>255</v>
      </c>
      <c r="K269" s="5">
        <v>4284000</v>
      </c>
      <c r="L269" s="6">
        <v>45098</v>
      </c>
      <c r="M269" s="6">
        <v>45291</v>
      </c>
      <c r="N269" s="1" t="s">
        <v>1399</v>
      </c>
    </row>
    <row r="270" spans="1:14" x14ac:dyDescent="0.25">
      <c r="A270" s="4">
        <v>266</v>
      </c>
      <c r="B270" s="2" t="str">
        <f>HYPERLINK("https://my.zakupivli.pro/remote/dispatcher/state_purchase_view/46287308", "UA-2023-10-31-006665-a")</f>
        <v>UA-2023-10-31-006665-a</v>
      </c>
      <c r="C270" s="2" t="str">
        <f>HYPERLINK("https://my.zakupivli.pro/remote/dispatcher/state_contracting_view/18021184", "UA-2023-10-31-006665-a-b1")</f>
        <v>UA-2023-10-31-006665-a-b1</v>
      </c>
      <c r="D270" s="1" t="s">
        <v>833</v>
      </c>
      <c r="E270" s="1" t="s">
        <v>833</v>
      </c>
      <c r="F270" s="1" t="s">
        <v>832</v>
      </c>
      <c r="G270" s="1" t="s">
        <v>1091</v>
      </c>
      <c r="H270" s="1" t="s">
        <v>1268</v>
      </c>
      <c r="I270" s="1" t="s">
        <v>644</v>
      </c>
      <c r="J270" s="1" t="s">
        <v>803</v>
      </c>
      <c r="K270" s="5">
        <v>1800</v>
      </c>
      <c r="L270" s="6">
        <v>45226</v>
      </c>
      <c r="M270" s="6">
        <v>45291</v>
      </c>
      <c r="N270" s="1" t="s">
        <v>1369</v>
      </c>
    </row>
    <row r="271" spans="1:14" x14ac:dyDescent="0.25">
      <c r="A271" s="4">
        <v>267</v>
      </c>
      <c r="B271" s="2" t="str">
        <f>HYPERLINK("https://my.zakupivli.pro/remote/dispatcher/state_purchase_view/46629738", "UA-2023-11-14-003466-a")</f>
        <v>UA-2023-11-14-003466-a</v>
      </c>
      <c r="C271" s="2" t="str">
        <f>HYPERLINK("https://my.zakupivli.pro/remote/dispatcher/state_contracting_view/18166976", "UA-2023-11-14-003466-a-b1")</f>
        <v>UA-2023-11-14-003466-a-b1</v>
      </c>
      <c r="D271" s="1" t="s">
        <v>195</v>
      </c>
      <c r="E271" s="1" t="s">
        <v>195</v>
      </c>
      <c r="F271" s="1" t="s">
        <v>194</v>
      </c>
      <c r="G271" s="1" t="s">
        <v>1091</v>
      </c>
      <c r="H271" s="1" t="s">
        <v>1149</v>
      </c>
      <c r="I271" s="1" t="s">
        <v>230</v>
      </c>
      <c r="J271" s="1" t="s">
        <v>815</v>
      </c>
      <c r="K271" s="5">
        <v>2600</v>
      </c>
      <c r="L271" s="6">
        <v>45243</v>
      </c>
      <c r="M271" s="6">
        <v>45291</v>
      </c>
      <c r="N271" s="1" t="s">
        <v>1369</v>
      </c>
    </row>
    <row r="272" spans="1:14" x14ac:dyDescent="0.25">
      <c r="A272" s="4">
        <v>268</v>
      </c>
      <c r="B272" s="2" t="str">
        <f>HYPERLINK("https://my.zakupivli.pro/remote/dispatcher/state_purchase_view/46286390", "UA-2023-10-31-006241-a")</f>
        <v>UA-2023-10-31-006241-a</v>
      </c>
      <c r="C272" s="2" t="str">
        <f>HYPERLINK("https://my.zakupivli.pro/remote/dispatcher/state_contracting_view/18020726", "UA-2023-10-31-006241-a-c1")</f>
        <v>UA-2023-10-31-006241-a-c1</v>
      </c>
      <c r="D272" s="1" t="s">
        <v>899</v>
      </c>
      <c r="E272" s="1" t="s">
        <v>899</v>
      </c>
      <c r="F272" s="1" t="s">
        <v>897</v>
      </c>
      <c r="G272" s="1" t="s">
        <v>1091</v>
      </c>
      <c r="H272" s="1" t="s">
        <v>1053</v>
      </c>
      <c r="I272" s="1" t="s">
        <v>261</v>
      </c>
      <c r="J272" s="1" t="s">
        <v>801</v>
      </c>
      <c r="K272" s="5">
        <v>32000</v>
      </c>
      <c r="L272" s="6">
        <v>45226</v>
      </c>
      <c r="M272" s="6">
        <v>45291</v>
      </c>
      <c r="N272" s="1" t="s">
        <v>1369</v>
      </c>
    </row>
    <row r="273" spans="1:14" x14ac:dyDescent="0.25">
      <c r="A273" s="4">
        <v>269</v>
      </c>
      <c r="B273" s="2" t="str">
        <f>HYPERLINK("https://my.zakupivli.pro/remote/dispatcher/state_purchase_view/40992732", "UA-2023-02-21-006715-a")</f>
        <v>UA-2023-02-21-006715-a</v>
      </c>
      <c r="C273" s="2" t="str">
        <f>HYPERLINK("https://my.zakupivli.pro/remote/dispatcher/state_contracting_view/15788390", "UA-2023-02-21-006715-a-a1")</f>
        <v>UA-2023-02-21-006715-a-a1</v>
      </c>
      <c r="D273" s="1" t="s">
        <v>1062</v>
      </c>
      <c r="E273" s="1" t="s">
        <v>1063</v>
      </c>
      <c r="F273" s="1" t="s">
        <v>21</v>
      </c>
      <c r="G273" s="1" t="s">
        <v>1092</v>
      </c>
      <c r="H273" s="1" t="s">
        <v>1096</v>
      </c>
      <c r="I273" s="1" t="s">
        <v>429</v>
      </c>
      <c r="J273" s="1" t="s">
        <v>1223</v>
      </c>
      <c r="K273" s="5">
        <v>1694916</v>
      </c>
      <c r="L273" s="6">
        <v>44987</v>
      </c>
      <c r="M273" s="6">
        <v>45291</v>
      </c>
      <c r="N273" s="1" t="s">
        <v>1399</v>
      </c>
    </row>
    <row r="274" spans="1:14" x14ac:dyDescent="0.25">
      <c r="A274" s="4">
        <v>270</v>
      </c>
      <c r="B274" s="2" t="str">
        <f>HYPERLINK("https://my.zakupivli.pro/remote/dispatcher/state_purchase_view/42456546", "UA-2023-05-09-004596-a")</f>
        <v>UA-2023-05-09-004596-a</v>
      </c>
      <c r="C274" s="2" t="str">
        <f>HYPERLINK("https://my.zakupivli.pro/remote/dispatcher/state_contracting_view/16636207", "UA-2023-05-09-004596-a-c1")</f>
        <v>UA-2023-05-09-004596-a-c1</v>
      </c>
      <c r="D274" s="1" t="s">
        <v>598</v>
      </c>
      <c r="E274" s="1" t="s">
        <v>1145</v>
      </c>
      <c r="F274" s="1" t="s">
        <v>597</v>
      </c>
      <c r="G274" s="1" t="s">
        <v>1056</v>
      </c>
      <c r="H274" s="1" t="s">
        <v>1334</v>
      </c>
      <c r="I274" s="1" t="s">
        <v>264</v>
      </c>
      <c r="J274" s="1" t="s">
        <v>211</v>
      </c>
      <c r="K274" s="5">
        <v>427531</v>
      </c>
      <c r="L274" s="6">
        <v>45084</v>
      </c>
      <c r="M274" s="6">
        <v>45291</v>
      </c>
      <c r="N274" s="1" t="s">
        <v>1399</v>
      </c>
    </row>
    <row r="275" spans="1:14" x14ac:dyDescent="0.25">
      <c r="A275" s="4">
        <v>271</v>
      </c>
      <c r="B275" s="2" t="str">
        <f>HYPERLINK("https://my.zakupivli.pro/remote/dispatcher/state_purchase_view/45353314", "UA-2023-09-21-009963-a")</f>
        <v>UA-2023-09-21-009963-a</v>
      </c>
      <c r="C275" s="2" t="str">
        <f>HYPERLINK("https://my.zakupivli.pro/remote/dispatcher/state_contracting_view/17980514", "UA-2023-09-21-009963-a-c1")</f>
        <v>UA-2023-09-21-009963-a-c1</v>
      </c>
      <c r="D275" s="1" t="s">
        <v>462</v>
      </c>
      <c r="E275" s="1" t="s">
        <v>1040</v>
      </c>
      <c r="F275" s="1" t="s">
        <v>466</v>
      </c>
      <c r="G275" s="1" t="s">
        <v>1056</v>
      </c>
      <c r="H275" s="1" t="s">
        <v>1351</v>
      </c>
      <c r="I275" s="1" t="s">
        <v>262</v>
      </c>
      <c r="J275" s="1" t="s">
        <v>796</v>
      </c>
      <c r="K275" s="5">
        <v>1027890</v>
      </c>
      <c r="L275" s="6">
        <v>45222</v>
      </c>
      <c r="M275" s="6">
        <v>45291</v>
      </c>
      <c r="N275" s="1" t="s">
        <v>1399</v>
      </c>
    </row>
    <row r="276" spans="1:14" x14ac:dyDescent="0.25">
      <c r="A276" s="4">
        <v>272</v>
      </c>
      <c r="B276" s="2" t="str">
        <f>HYPERLINK("https://my.zakupivli.pro/remote/dispatcher/state_purchase_view/42204984", "UA-2023-04-26-008244-a")</f>
        <v>UA-2023-04-26-008244-a</v>
      </c>
      <c r="C276" s="2" t="str">
        <f>HYPERLINK("https://my.zakupivli.pro/remote/dispatcher/state_contracting_view/16510086", "UA-2023-04-26-008244-a-b1")</f>
        <v>UA-2023-04-26-008244-a-b1</v>
      </c>
      <c r="D276" s="1" t="s">
        <v>468</v>
      </c>
      <c r="E276" s="1" t="s">
        <v>1354</v>
      </c>
      <c r="F276" s="1" t="s">
        <v>467</v>
      </c>
      <c r="G276" s="1" t="s">
        <v>1056</v>
      </c>
      <c r="H276" s="1" t="s">
        <v>1298</v>
      </c>
      <c r="I276" s="1" t="s">
        <v>430</v>
      </c>
      <c r="J276" s="1" t="s">
        <v>185</v>
      </c>
      <c r="K276" s="5">
        <v>1212296.3999999999</v>
      </c>
      <c r="L276" s="6">
        <v>45069</v>
      </c>
      <c r="M276" s="6">
        <v>45291</v>
      </c>
      <c r="N276" s="1" t="s">
        <v>1399</v>
      </c>
    </row>
    <row r="277" spans="1:14" x14ac:dyDescent="0.25">
      <c r="A277" s="4">
        <v>273</v>
      </c>
      <c r="B277" s="2" t="str">
        <f>HYPERLINK("https://my.zakupivli.pro/remote/dispatcher/state_purchase_view/46362801", "UA-2023-11-02-014432-a")</f>
        <v>UA-2023-11-02-014432-a</v>
      </c>
      <c r="C277" s="2" t="str">
        <f>HYPERLINK("https://my.zakupivli.pro/remote/dispatcher/state_contracting_view/18323488", "UA-2023-11-02-014432-a-b1")</f>
        <v>UA-2023-11-02-014432-a-b1</v>
      </c>
      <c r="D277" s="1" t="s">
        <v>372</v>
      </c>
      <c r="E277" s="1" t="s">
        <v>1125</v>
      </c>
      <c r="F277" s="1" t="s">
        <v>373</v>
      </c>
      <c r="G277" s="1" t="s">
        <v>1056</v>
      </c>
      <c r="H277" s="1" t="s">
        <v>1044</v>
      </c>
      <c r="I277" s="1" t="s">
        <v>267</v>
      </c>
      <c r="J277" s="1" t="s">
        <v>828</v>
      </c>
      <c r="K277" s="5">
        <v>336173.25</v>
      </c>
      <c r="L277" s="6">
        <v>45254</v>
      </c>
      <c r="M277" s="6">
        <v>45291</v>
      </c>
      <c r="N277" s="1" t="s">
        <v>1399</v>
      </c>
    </row>
    <row r="278" spans="1:14" x14ac:dyDescent="0.25">
      <c r="A278" s="4">
        <v>274</v>
      </c>
      <c r="B278" s="2" t="str">
        <f>HYPERLINK("https://my.zakupivli.pro/remote/dispatcher/state_purchase_view/41950052", "UA-2023-04-12-003326-a")</f>
        <v>UA-2023-04-12-003326-a</v>
      </c>
      <c r="C278" s="2" t="str">
        <f>HYPERLINK("https://my.zakupivli.pro/remote/dispatcher/state_contracting_view/16326745", "UA-2023-04-12-003326-a-a1")</f>
        <v>UA-2023-04-12-003326-a-a1</v>
      </c>
      <c r="D278" s="1" t="s">
        <v>714</v>
      </c>
      <c r="E278" s="1" t="s">
        <v>1129</v>
      </c>
      <c r="F278" s="1" t="s">
        <v>712</v>
      </c>
      <c r="G278" s="1" t="s">
        <v>1056</v>
      </c>
      <c r="H278" s="1" t="s">
        <v>1248</v>
      </c>
      <c r="I278" s="1" t="s">
        <v>123</v>
      </c>
      <c r="J278" s="1" t="s">
        <v>150</v>
      </c>
      <c r="K278" s="5">
        <v>310210</v>
      </c>
      <c r="L278" s="6">
        <v>45054</v>
      </c>
      <c r="M278" s="6">
        <v>45291</v>
      </c>
      <c r="N278" s="1" t="s">
        <v>1399</v>
      </c>
    </row>
    <row r="279" spans="1:14" x14ac:dyDescent="0.25">
      <c r="A279" s="4">
        <v>275</v>
      </c>
      <c r="B279" s="2" t="str">
        <f>HYPERLINK("https://my.zakupivli.pro/remote/dispatcher/state_purchase_view/47102442", "UA-2023-11-29-013039-a")</f>
        <v>UA-2023-11-29-013039-a</v>
      </c>
      <c r="C279" s="2" t="str">
        <f>HYPERLINK("https://my.zakupivli.pro/remote/dispatcher/state_contracting_view/18682988", "UA-2023-11-29-013039-a-c1")</f>
        <v>UA-2023-11-29-013039-a-c1</v>
      </c>
      <c r="D279" s="1" t="s">
        <v>333</v>
      </c>
      <c r="E279" s="1" t="s">
        <v>1087</v>
      </c>
      <c r="F279" s="1" t="s">
        <v>334</v>
      </c>
      <c r="G279" s="1" t="s">
        <v>1056</v>
      </c>
      <c r="H279" s="1" t="s">
        <v>1351</v>
      </c>
      <c r="I279" s="1" t="s">
        <v>262</v>
      </c>
      <c r="J279" s="1" t="s">
        <v>877</v>
      </c>
      <c r="K279" s="5">
        <v>661950</v>
      </c>
      <c r="L279" s="6">
        <v>45280</v>
      </c>
      <c r="M279" s="6">
        <v>45291</v>
      </c>
      <c r="N279" s="1" t="s">
        <v>1399</v>
      </c>
    </row>
    <row r="280" spans="1:14" x14ac:dyDescent="0.25">
      <c r="A280" s="4">
        <v>276</v>
      </c>
      <c r="B280" s="2" t="str">
        <f>HYPERLINK("https://my.zakupivli.pro/remote/dispatcher/state_purchase_view/41743076", "UA-2023-03-31-004413-a")</f>
        <v>UA-2023-03-31-004413-a</v>
      </c>
      <c r="C280" s="2" t="str">
        <f>HYPERLINK("https://my.zakupivli.pro/remote/dispatcher/state_contracting_view/16023014", "UA-2023-03-31-004413-a-b1")</f>
        <v>UA-2023-03-31-004413-a-b1</v>
      </c>
      <c r="D280" s="1" t="s">
        <v>342</v>
      </c>
      <c r="E280" s="1" t="s">
        <v>1425</v>
      </c>
      <c r="F280" s="1" t="s">
        <v>341</v>
      </c>
      <c r="G280" s="1" t="s">
        <v>1091</v>
      </c>
      <c r="H280" s="1" t="s">
        <v>1276</v>
      </c>
      <c r="I280" s="1" t="s">
        <v>667</v>
      </c>
      <c r="J280" s="1" t="s">
        <v>61</v>
      </c>
      <c r="K280" s="5">
        <v>60000</v>
      </c>
      <c r="L280" s="6">
        <v>45016</v>
      </c>
      <c r="M280" s="6">
        <v>45291</v>
      </c>
      <c r="N280" s="1" t="s">
        <v>1369</v>
      </c>
    </row>
    <row r="281" spans="1:14" x14ac:dyDescent="0.25">
      <c r="A281" s="4">
        <v>277</v>
      </c>
      <c r="B281" s="2" t="str">
        <f>HYPERLINK("https://my.zakupivli.pro/remote/dispatcher/state_purchase_view/41190878", "UA-2023-03-02-009027-a")</f>
        <v>UA-2023-03-02-009027-a</v>
      </c>
      <c r="C281" s="2" t="str">
        <f>HYPERLINK("https://my.zakupivli.pro/remote/dispatcher/state_contracting_view/15786597", "UA-2023-03-02-009027-a-a1")</f>
        <v>UA-2023-03-02-009027-a-a1</v>
      </c>
      <c r="D281" s="1" t="s">
        <v>92</v>
      </c>
      <c r="E281" s="1" t="s">
        <v>1142</v>
      </c>
      <c r="F281" s="1" t="s">
        <v>91</v>
      </c>
      <c r="G281" s="1" t="s">
        <v>1091</v>
      </c>
      <c r="H281" s="1" t="s">
        <v>1174</v>
      </c>
      <c r="I281" s="1" t="s">
        <v>3</v>
      </c>
      <c r="J281" s="1" t="s">
        <v>36</v>
      </c>
      <c r="K281" s="5">
        <v>46200</v>
      </c>
      <c r="L281" s="6">
        <v>44987</v>
      </c>
      <c r="M281" s="6">
        <v>45291</v>
      </c>
      <c r="N281" s="1" t="s">
        <v>1369</v>
      </c>
    </row>
    <row r="282" spans="1:14" x14ac:dyDescent="0.25">
      <c r="A282" s="4">
        <v>278</v>
      </c>
      <c r="B282" s="2" t="str">
        <f>HYPERLINK("https://my.zakupivli.pro/remote/dispatcher/state_purchase_view/40487074", "UA-2023-01-31-011196-a")</f>
        <v>UA-2023-01-31-011196-a</v>
      </c>
      <c r="C282" s="2" t="str">
        <f>HYPERLINK("https://my.zakupivli.pro/remote/dispatcher/state_contracting_view/15454873", "UA-2023-01-31-011196-a-c1")</f>
        <v>UA-2023-01-31-011196-a-c1</v>
      </c>
      <c r="D282" s="1" t="s">
        <v>224</v>
      </c>
      <c r="E282" s="1" t="s">
        <v>1470</v>
      </c>
      <c r="F282" s="1" t="s">
        <v>219</v>
      </c>
      <c r="G282" s="1" t="s">
        <v>1091</v>
      </c>
      <c r="H282" s="1" t="s">
        <v>1180</v>
      </c>
      <c r="I282" s="1" t="s">
        <v>770</v>
      </c>
      <c r="J282" s="1" t="s">
        <v>1042</v>
      </c>
      <c r="K282" s="5">
        <v>1400</v>
      </c>
      <c r="L282" s="6">
        <v>44957</v>
      </c>
      <c r="M282" s="6">
        <v>45291</v>
      </c>
      <c r="N282" s="1" t="s">
        <v>1369</v>
      </c>
    </row>
    <row r="283" spans="1:14" x14ac:dyDescent="0.25">
      <c r="A283" s="4">
        <v>279</v>
      </c>
      <c r="B283" s="2" t="str">
        <f>HYPERLINK("https://my.zakupivli.pro/remote/dispatcher/state_purchase_view/40483482", "UA-2023-01-31-009384-a")</f>
        <v>UA-2023-01-31-009384-a</v>
      </c>
      <c r="C283" s="2" t="str">
        <f>HYPERLINK("https://my.zakupivli.pro/remote/dispatcher/state_contracting_view/15453028", "UA-2023-01-31-009384-a-a1")</f>
        <v>UA-2023-01-31-009384-a-a1</v>
      </c>
      <c r="D283" s="1" t="s">
        <v>240</v>
      </c>
      <c r="E283" s="1" t="s">
        <v>240</v>
      </c>
      <c r="F283" s="1" t="s">
        <v>239</v>
      </c>
      <c r="G283" s="1" t="s">
        <v>1091</v>
      </c>
      <c r="H283" s="1" t="s">
        <v>1180</v>
      </c>
      <c r="I283" s="1" t="s">
        <v>770</v>
      </c>
      <c r="J283" s="1" t="s">
        <v>1027</v>
      </c>
      <c r="K283" s="5">
        <v>7920</v>
      </c>
      <c r="L283" s="6">
        <v>44957</v>
      </c>
      <c r="M283" s="6">
        <v>45291</v>
      </c>
      <c r="N283" s="1" t="s">
        <v>1369</v>
      </c>
    </row>
    <row r="284" spans="1:14" x14ac:dyDescent="0.25">
      <c r="A284" s="4">
        <v>280</v>
      </c>
      <c r="B284" s="2" t="str">
        <f>HYPERLINK("https://my.zakupivli.pro/remote/dispatcher/state_purchase_view/40928133", "UA-2023-02-17-004866-a")</f>
        <v>UA-2023-02-17-004866-a</v>
      </c>
      <c r="C284" s="2" t="str">
        <f>HYPERLINK("https://my.zakupivli.pro/remote/dispatcher/state_contracting_view/15663158", "UA-2023-02-17-004866-a-c1")</f>
        <v>UA-2023-02-17-004866-a-c1</v>
      </c>
      <c r="D284" s="1" t="s">
        <v>621</v>
      </c>
      <c r="E284" s="1" t="s">
        <v>1050</v>
      </c>
      <c r="F284" s="1" t="s">
        <v>620</v>
      </c>
      <c r="G284" s="1" t="s">
        <v>1091</v>
      </c>
      <c r="H284" s="1" t="s">
        <v>1023</v>
      </c>
      <c r="I284" s="1" t="s">
        <v>264</v>
      </c>
      <c r="J284" s="1" t="s">
        <v>1010</v>
      </c>
      <c r="K284" s="5">
        <v>16800</v>
      </c>
      <c r="L284" s="6">
        <v>44974</v>
      </c>
      <c r="M284" s="6">
        <v>45291</v>
      </c>
      <c r="N284" s="1" t="s">
        <v>1369</v>
      </c>
    </row>
    <row r="285" spans="1:14" x14ac:dyDescent="0.25">
      <c r="A285" s="4">
        <v>281</v>
      </c>
      <c r="B285" s="2" t="str">
        <f>HYPERLINK("https://my.zakupivli.pro/remote/dispatcher/state_purchase_view/40072300", "UA-2023-01-16-006592-a")</f>
        <v>UA-2023-01-16-006592-a</v>
      </c>
      <c r="C285" s="2" t="str">
        <f>HYPERLINK("https://my.zakupivli.pro/remote/dispatcher/state_contracting_view/15265667", "UA-2023-01-16-006592-a-a1")</f>
        <v>UA-2023-01-16-006592-a-a1</v>
      </c>
      <c r="D285" s="1" t="s">
        <v>216</v>
      </c>
      <c r="E285" s="1" t="s">
        <v>1392</v>
      </c>
      <c r="F285" s="1" t="s">
        <v>215</v>
      </c>
      <c r="G285" s="1" t="s">
        <v>1091</v>
      </c>
      <c r="H285" s="1" t="s">
        <v>1258</v>
      </c>
      <c r="I285" s="1" t="s">
        <v>600</v>
      </c>
      <c r="J285" s="1" t="s">
        <v>526</v>
      </c>
      <c r="K285" s="5">
        <v>11596</v>
      </c>
      <c r="L285" s="6">
        <v>44942</v>
      </c>
      <c r="M285" s="6">
        <v>45291</v>
      </c>
      <c r="N285" s="1" t="s">
        <v>1369</v>
      </c>
    </row>
    <row r="286" spans="1:14" x14ac:dyDescent="0.25">
      <c r="A286" s="4">
        <v>282</v>
      </c>
      <c r="B286" s="2" t="str">
        <f>HYPERLINK("https://my.zakupivli.pro/remote/dispatcher/state_purchase_view/40053175", "UA-2023-01-13-008741-a")</f>
        <v>UA-2023-01-13-008741-a</v>
      </c>
      <c r="C286" s="2" t="str">
        <f>HYPERLINK("https://my.zakupivli.pro/remote/dispatcher/state_contracting_view/15257456", "UA-2023-01-13-008741-a-c1")</f>
        <v>UA-2023-01-13-008741-a-c1</v>
      </c>
      <c r="D286" s="1" t="s">
        <v>904</v>
      </c>
      <c r="E286" s="1" t="s">
        <v>1313</v>
      </c>
      <c r="F286" s="1" t="s">
        <v>901</v>
      </c>
      <c r="G286" s="1" t="s">
        <v>1091</v>
      </c>
      <c r="H286" s="1" t="s">
        <v>1031</v>
      </c>
      <c r="I286" s="1" t="s">
        <v>163</v>
      </c>
      <c r="J286" s="1" t="s">
        <v>1137</v>
      </c>
      <c r="K286" s="5">
        <v>85000</v>
      </c>
      <c r="L286" s="6">
        <v>44937</v>
      </c>
      <c r="M286" s="6">
        <v>45291</v>
      </c>
      <c r="N286" s="1" t="s">
        <v>1369</v>
      </c>
    </row>
    <row r="287" spans="1:14" x14ac:dyDescent="0.25">
      <c r="A287" s="4">
        <v>283</v>
      </c>
      <c r="B287" s="2" t="str">
        <f>HYPERLINK("https://my.zakupivli.pro/remote/dispatcher/state_purchase_view/40053721", "UA-2023-01-13-009007-a")</f>
        <v>UA-2023-01-13-009007-a</v>
      </c>
      <c r="C287" s="2" t="str">
        <f>HYPERLINK("https://my.zakupivli.pro/remote/dispatcher/state_contracting_view/15257693", "UA-2023-01-13-009007-a-c1")</f>
        <v>UA-2023-01-13-009007-a-c1</v>
      </c>
      <c r="D287" s="1" t="s">
        <v>495</v>
      </c>
      <c r="E287" s="1" t="s">
        <v>1019</v>
      </c>
      <c r="F287" s="1" t="s">
        <v>494</v>
      </c>
      <c r="G287" s="1" t="s">
        <v>1091</v>
      </c>
      <c r="H287" s="1" t="s">
        <v>1288</v>
      </c>
      <c r="I287" s="1" t="s">
        <v>664</v>
      </c>
      <c r="J287" s="1" t="s">
        <v>514</v>
      </c>
      <c r="K287" s="5">
        <v>15688.8</v>
      </c>
      <c r="L287" s="6">
        <v>44938</v>
      </c>
      <c r="M287" s="6">
        <v>45291</v>
      </c>
      <c r="N287" s="1" t="s">
        <v>1369</v>
      </c>
    </row>
    <row r="288" spans="1:14" x14ac:dyDescent="0.25">
      <c r="A288" s="4">
        <v>284</v>
      </c>
      <c r="B288" s="2" t="str">
        <f>HYPERLINK("https://my.zakupivli.pro/remote/dispatcher/state_purchase_view/40706280", "UA-2023-02-08-009433-a")</f>
        <v>UA-2023-02-08-009433-a</v>
      </c>
      <c r="C288" s="2" t="str">
        <f>HYPERLINK("https://my.zakupivli.pro/remote/dispatcher/state_contracting_view/15558020", "UA-2023-02-08-009433-a-a1")</f>
        <v>UA-2023-02-08-009433-a-a1</v>
      </c>
      <c r="D288" s="1" t="s">
        <v>370</v>
      </c>
      <c r="E288" s="1" t="s">
        <v>1152</v>
      </c>
      <c r="F288" s="1" t="s">
        <v>368</v>
      </c>
      <c r="G288" s="1" t="s">
        <v>1091</v>
      </c>
      <c r="H288" s="1" t="s">
        <v>1138</v>
      </c>
      <c r="I288" s="1" t="s">
        <v>431</v>
      </c>
      <c r="J288" s="1" t="s">
        <v>959</v>
      </c>
      <c r="K288" s="5">
        <v>7800</v>
      </c>
      <c r="L288" s="6">
        <v>44964</v>
      </c>
      <c r="M288" s="6">
        <v>45291</v>
      </c>
      <c r="N288" s="1" t="s">
        <v>1369</v>
      </c>
    </row>
    <row r="289" spans="1:14" x14ac:dyDescent="0.25">
      <c r="A289" s="4">
        <v>285</v>
      </c>
      <c r="B289" s="2" t="str">
        <f>HYPERLINK("https://my.zakupivli.pro/remote/dispatcher/state_purchase_view/42758889", "UA-2023-05-22-012902-a")</f>
        <v>UA-2023-05-22-012902-a</v>
      </c>
      <c r="C289" s="2" t="str">
        <f>HYPERLINK("https://my.zakupivli.pro/remote/dispatcher/state_contracting_view/16477390", "UA-2023-05-22-012902-a-c1")</f>
        <v>UA-2023-05-22-012902-a-c1</v>
      </c>
      <c r="D289" s="1" t="s">
        <v>589</v>
      </c>
      <c r="E289" s="1" t="s">
        <v>1471</v>
      </c>
      <c r="F289" s="1" t="s">
        <v>586</v>
      </c>
      <c r="G289" s="1" t="s">
        <v>1091</v>
      </c>
      <c r="H289" s="1" t="s">
        <v>1148</v>
      </c>
      <c r="I289" s="1" t="s">
        <v>282</v>
      </c>
      <c r="J289" s="1" t="s">
        <v>168</v>
      </c>
      <c r="K289" s="5">
        <v>16856.34</v>
      </c>
      <c r="L289" s="6">
        <v>45064</v>
      </c>
      <c r="M289" s="6">
        <v>45291</v>
      </c>
      <c r="N289" s="1" t="s">
        <v>1369</v>
      </c>
    </row>
    <row r="290" spans="1:14" x14ac:dyDescent="0.25">
      <c r="A290" s="4">
        <v>286</v>
      </c>
      <c r="B290" s="2" t="str">
        <f>HYPERLINK("https://my.zakupivli.pro/remote/dispatcher/state_purchase_view/43453823", "UA-2023-06-21-009766-a")</f>
        <v>UA-2023-06-21-009766-a</v>
      </c>
      <c r="C290" s="2" t="str">
        <f>HYPERLINK("https://my.zakupivli.pro/remote/dispatcher/state_contracting_view/16798913", "UA-2023-06-21-009766-a-c1")</f>
        <v>UA-2023-06-21-009766-a-c1</v>
      </c>
      <c r="D290" s="1" t="s">
        <v>938</v>
      </c>
      <c r="E290" s="1" t="s">
        <v>1441</v>
      </c>
      <c r="F290" s="1" t="s">
        <v>937</v>
      </c>
      <c r="G290" s="1" t="s">
        <v>1091</v>
      </c>
      <c r="H290" s="1" t="s">
        <v>1108</v>
      </c>
      <c r="I290" s="1" t="s">
        <v>176</v>
      </c>
      <c r="J290" s="1" t="s">
        <v>66</v>
      </c>
      <c r="K290" s="5">
        <v>6500</v>
      </c>
      <c r="L290" s="6">
        <v>45097</v>
      </c>
      <c r="M290" s="6">
        <v>45291</v>
      </c>
      <c r="N290" s="1" t="s">
        <v>1369</v>
      </c>
    </row>
    <row r="291" spans="1:14" x14ac:dyDescent="0.25">
      <c r="A291" s="4">
        <v>287</v>
      </c>
      <c r="B291" s="2" t="str">
        <f>HYPERLINK("https://my.zakupivli.pro/remote/dispatcher/state_purchase_view/44531014", "UA-2023-08-15-009204-a")</f>
        <v>UA-2023-08-15-009204-a</v>
      </c>
      <c r="C291" s="2" t="str">
        <f>HYPERLINK("https://my.zakupivli.pro/remote/dispatcher/state_contracting_view/17271596", "UA-2023-08-15-009204-a-a1")</f>
        <v>UA-2023-08-15-009204-a-a1</v>
      </c>
      <c r="D291" s="1" t="s">
        <v>93</v>
      </c>
      <c r="E291" s="1" t="s">
        <v>95</v>
      </c>
      <c r="F291" s="1" t="s">
        <v>94</v>
      </c>
      <c r="G291" s="1" t="s">
        <v>1091</v>
      </c>
      <c r="H291" s="1" t="s">
        <v>1282</v>
      </c>
      <c r="I291" s="1" t="s">
        <v>651</v>
      </c>
      <c r="J291" s="1" t="s">
        <v>515</v>
      </c>
      <c r="K291" s="5">
        <v>46200</v>
      </c>
      <c r="L291" s="6">
        <v>45149</v>
      </c>
      <c r="M291" s="6">
        <v>45291</v>
      </c>
      <c r="N291" s="1" t="s">
        <v>1369</v>
      </c>
    </row>
    <row r="292" spans="1:14" x14ac:dyDescent="0.25">
      <c r="A292" s="4">
        <v>288</v>
      </c>
      <c r="B292" s="2" t="str">
        <f>HYPERLINK("https://my.zakupivli.pro/remote/dispatcher/state_purchase_view/44523782", "UA-2023-08-15-005780-a")</f>
        <v>UA-2023-08-15-005780-a</v>
      </c>
      <c r="C292" s="2" t="str">
        <f>HYPERLINK("https://my.zakupivli.pro/remote/dispatcher/state_contracting_view/17268370", "UA-2023-08-15-005780-a-a1")</f>
        <v>UA-2023-08-15-005780-a-a1</v>
      </c>
      <c r="D292" s="1" t="s">
        <v>670</v>
      </c>
      <c r="E292" s="1" t="s">
        <v>669</v>
      </c>
      <c r="F292" s="1" t="s">
        <v>669</v>
      </c>
      <c r="G292" s="1" t="s">
        <v>1091</v>
      </c>
      <c r="H292" s="1" t="s">
        <v>1295</v>
      </c>
      <c r="I292" s="1" t="s">
        <v>512</v>
      </c>
      <c r="J292" s="1" t="s">
        <v>1242</v>
      </c>
      <c r="K292" s="5">
        <v>6304.32</v>
      </c>
      <c r="L292" s="6">
        <v>45149</v>
      </c>
      <c r="M292" s="6">
        <v>45291</v>
      </c>
      <c r="N292" s="1" t="s">
        <v>1369</v>
      </c>
    </row>
    <row r="293" spans="1:14" x14ac:dyDescent="0.25">
      <c r="A293" s="4">
        <v>289</v>
      </c>
      <c r="B293" s="2" t="str">
        <f>HYPERLINK("https://my.zakupivli.pro/remote/dispatcher/state_purchase_view/40275305", "UA-2023-01-24-002577-a")</f>
        <v>UA-2023-01-24-002577-a</v>
      </c>
      <c r="C293" s="2" t="str">
        <f>HYPERLINK("https://my.zakupivli.pro/remote/dispatcher/state_contracting_view/15619163", "UA-2023-01-24-002577-a-c1")</f>
        <v>UA-2023-01-24-002577-a-c1</v>
      </c>
      <c r="D293" s="1" t="s">
        <v>376</v>
      </c>
      <c r="E293" s="1" t="s">
        <v>1411</v>
      </c>
      <c r="F293" s="1" t="s">
        <v>375</v>
      </c>
      <c r="G293" s="1" t="s">
        <v>1056</v>
      </c>
      <c r="H293" s="1" t="s">
        <v>1083</v>
      </c>
      <c r="I293" s="1" t="s">
        <v>652</v>
      </c>
      <c r="J293" s="1" t="s">
        <v>992</v>
      </c>
      <c r="K293" s="5">
        <v>4680000</v>
      </c>
      <c r="L293" s="6">
        <v>44970</v>
      </c>
      <c r="M293" s="6">
        <v>45291</v>
      </c>
      <c r="N293" s="1" t="s">
        <v>1399</v>
      </c>
    </row>
    <row r="294" spans="1:14" x14ac:dyDescent="0.25">
      <c r="A294" s="4">
        <v>290</v>
      </c>
      <c r="B294" s="2" t="str">
        <f>HYPERLINK("https://my.zakupivli.pro/remote/dispatcher/state_purchase_view/43709463", "UA-2023-07-04-006555-a")</f>
        <v>UA-2023-07-04-006555-a</v>
      </c>
      <c r="C294" s="2" t="str">
        <f>HYPERLINK("https://my.zakupivli.pro/remote/dispatcher/state_contracting_view/16916978", "UA-2023-07-04-006555-a-b1")</f>
        <v>UA-2023-07-04-006555-a-b1</v>
      </c>
      <c r="D294" s="1" t="s">
        <v>905</v>
      </c>
      <c r="E294" s="1" t="s">
        <v>1448</v>
      </c>
      <c r="F294" s="1" t="s">
        <v>906</v>
      </c>
      <c r="G294" s="1" t="s">
        <v>1091</v>
      </c>
      <c r="H294" s="1" t="s">
        <v>1222</v>
      </c>
      <c r="I294" s="1" t="s">
        <v>278</v>
      </c>
      <c r="J294" s="1" t="s">
        <v>281</v>
      </c>
      <c r="K294" s="5">
        <v>99000</v>
      </c>
      <c r="L294" s="6">
        <v>45110</v>
      </c>
      <c r="M294" s="6">
        <v>45291</v>
      </c>
      <c r="N294" s="1" t="s">
        <v>1369</v>
      </c>
    </row>
    <row r="295" spans="1:14" x14ac:dyDescent="0.25">
      <c r="A295" s="4">
        <v>291</v>
      </c>
      <c r="B295" s="2" t="str">
        <f>HYPERLINK("https://my.zakupivli.pro/remote/dispatcher/state_purchase_view/43991927", "UA-2023-07-18-009869-a")</f>
        <v>UA-2023-07-18-009869-a</v>
      </c>
      <c r="C295" s="2" t="str">
        <f>HYPERLINK("https://my.zakupivli.pro/remote/dispatcher/state_contracting_view/17039147", "UA-2023-07-18-009869-a-a1")</f>
        <v>UA-2023-07-18-009869-a-a1</v>
      </c>
      <c r="D295" s="1" t="s">
        <v>587</v>
      </c>
      <c r="E295" s="1" t="s">
        <v>1417</v>
      </c>
      <c r="F295" s="1" t="s">
        <v>594</v>
      </c>
      <c r="G295" s="1" t="s">
        <v>1091</v>
      </c>
      <c r="H295" s="1" t="s">
        <v>1025</v>
      </c>
      <c r="I295" s="1" t="s">
        <v>363</v>
      </c>
      <c r="J295" s="1" t="s">
        <v>318</v>
      </c>
      <c r="K295" s="5">
        <v>4960</v>
      </c>
      <c r="L295" s="6">
        <v>45124</v>
      </c>
      <c r="M295" s="6">
        <v>45291</v>
      </c>
      <c r="N295" s="1" t="s">
        <v>1369</v>
      </c>
    </row>
    <row r="296" spans="1:14" x14ac:dyDescent="0.25">
      <c r="A296" s="4">
        <v>292</v>
      </c>
      <c r="B296" s="2" t="str">
        <f>HYPERLINK("https://my.zakupivli.pro/remote/dispatcher/state_purchase_view/45573331", "UA-2023-10-02-008028-a")</f>
        <v>UA-2023-10-02-008028-a</v>
      </c>
      <c r="C296" s="2" t="str">
        <f>HYPERLINK("https://my.zakupivli.pro/remote/dispatcher/state_contracting_view/17716392", "UA-2023-10-02-008028-a-b1")</f>
        <v>UA-2023-10-02-008028-a-b1</v>
      </c>
      <c r="D296" s="1" t="s">
        <v>411</v>
      </c>
      <c r="E296" s="1" t="s">
        <v>411</v>
      </c>
      <c r="F296" s="1" t="s">
        <v>409</v>
      </c>
      <c r="G296" s="1" t="s">
        <v>1091</v>
      </c>
      <c r="H296" s="1" t="s">
        <v>1271</v>
      </c>
      <c r="I296" s="1" t="s">
        <v>425</v>
      </c>
      <c r="J296" s="1" t="s">
        <v>990</v>
      </c>
      <c r="K296" s="5">
        <v>4260</v>
      </c>
      <c r="L296" s="6">
        <v>45198</v>
      </c>
      <c r="M296" s="6">
        <v>45291</v>
      </c>
      <c r="N296" s="1" t="s">
        <v>1369</v>
      </c>
    </row>
    <row r="297" spans="1:14" x14ac:dyDescent="0.25">
      <c r="A297" s="4">
        <v>293</v>
      </c>
      <c r="B297" s="2" t="str">
        <f>HYPERLINK("https://my.zakupivli.pro/remote/dispatcher/state_purchase_view/45602510", "UA-2023-10-03-007921-a")</f>
        <v>UA-2023-10-03-007921-a</v>
      </c>
      <c r="C297" s="2" t="str">
        <f>HYPERLINK("https://my.zakupivli.pro/remote/dispatcher/state_contracting_view/17728674", "UA-2023-10-03-007921-a-c1")</f>
        <v>UA-2023-10-03-007921-a-c1</v>
      </c>
      <c r="D297" s="1" t="s">
        <v>488</v>
      </c>
      <c r="E297" s="1" t="s">
        <v>491</v>
      </c>
      <c r="F297" s="1" t="s">
        <v>490</v>
      </c>
      <c r="G297" s="1" t="s">
        <v>1091</v>
      </c>
      <c r="H297" s="1" t="s">
        <v>1364</v>
      </c>
      <c r="I297" s="1" t="s">
        <v>286</v>
      </c>
      <c r="J297" s="1" t="s">
        <v>733</v>
      </c>
      <c r="K297" s="5">
        <v>10800</v>
      </c>
      <c r="L297" s="6">
        <v>45201</v>
      </c>
      <c r="M297" s="6">
        <v>45291</v>
      </c>
      <c r="N297" s="1" t="s">
        <v>1369</v>
      </c>
    </row>
    <row r="298" spans="1:14" x14ac:dyDescent="0.25">
      <c r="A298" s="4">
        <v>294</v>
      </c>
      <c r="B298" s="2" t="str">
        <f>HYPERLINK("https://my.zakupivli.pro/remote/dispatcher/state_purchase_view/45699548", "UA-2023-10-06-007703-a")</f>
        <v>UA-2023-10-06-007703-a</v>
      </c>
      <c r="C298" s="2" t="str">
        <f>HYPERLINK("https://my.zakupivli.pro/remote/dispatcher/state_contracting_view/17769720", "UA-2023-10-06-007703-a-a1")</f>
        <v>UA-2023-10-06-007703-a-a1</v>
      </c>
      <c r="D298" s="1" t="s">
        <v>238</v>
      </c>
      <c r="E298" s="1" t="s">
        <v>238</v>
      </c>
      <c r="F298" s="1" t="s">
        <v>237</v>
      </c>
      <c r="G298" s="1" t="s">
        <v>1091</v>
      </c>
      <c r="H298" s="1" t="s">
        <v>1182</v>
      </c>
      <c r="I298" s="1" t="s">
        <v>451</v>
      </c>
      <c r="J298" s="1" t="s">
        <v>787</v>
      </c>
      <c r="K298" s="5">
        <v>17160</v>
      </c>
      <c r="L298" s="6">
        <v>45203</v>
      </c>
      <c r="M298" s="6">
        <v>45291</v>
      </c>
      <c r="N298" s="1" t="s">
        <v>1369</v>
      </c>
    </row>
    <row r="299" spans="1:14" x14ac:dyDescent="0.25">
      <c r="A299" s="4">
        <v>295</v>
      </c>
      <c r="B299" s="2" t="str">
        <f>HYPERLINK("https://my.zakupivli.pro/remote/dispatcher/state_purchase_view/44713932", "UA-2023-08-23-010253-a")</f>
        <v>UA-2023-08-23-010253-a</v>
      </c>
      <c r="C299" s="2" t="str">
        <f>HYPERLINK("https://my.zakupivli.pro/remote/dispatcher/state_contracting_view/17349551", "UA-2023-08-23-010253-a-c1")</f>
        <v>UA-2023-08-23-010253-a-c1</v>
      </c>
      <c r="D299" s="1" t="s">
        <v>221</v>
      </c>
      <c r="E299" s="1" t="s">
        <v>221</v>
      </c>
      <c r="F299" s="1" t="s">
        <v>219</v>
      </c>
      <c r="G299" s="1" t="s">
        <v>1091</v>
      </c>
      <c r="H299" s="1" t="s">
        <v>1177</v>
      </c>
      <c r="I299" s="1" t="s">
        <v>498</v>
      </c>
      <c r="J299" s="1" t="s">
        <v>545</v>
      </c>
      <c r="K299" s="5">
        <v>20736</v>
      </c>
      <c r="L299" s="6">
        <v>45161</v>
      </c>
      <c r="M299" s="6">
        <v>45291</v>
      </c>
      <c r="N299" s="1" t="s">
        <v>1369</v>
      </c>
    </row>
    <row r="300" spans="1:14" x14ac:dyDescent="0.25">
      <c r="A300" s="4">
        <v>296</v>
      </c>
      <c r="B300" s="2" t="str">
        <f>HYPERLINK("https://my.zakupivli.pro/remote/dispatcher/state_purchase_view/44710814", "UA-2023-08-23-008815-a")</f>
        <v>UA-2023-08-23-008815-a</v>
      </c>
      <c r="C300" s="2" t="str">
        <f>HYPERLINK("https://my.zakupivli.pro/remote/dispatcher/state_contracting_view/17348376", "UA-2023-08-23-008815-a-b1")</f>
        <v>UA-2023-08-23-008815-a-b1</v>
      </c>
      <c r="D300" s="1" t="s">
        <v>141</v>
      </c>
      <c r="E300" s="1" t="s">
        <v>141</v>
      </c>
      <c r="F300" s="1" t="s">
        <v>140</v>
      </c>
      <c r="G300" s="1" t="s">
        <v>1091</v>
      </c>
      <c r="H300" s="1" t="s">
        <v>1177</v>
      </c>
      <c r="I300" s="1" t="s">
        <v>498</v>
      </c>
      <c r="J300" s="1" t="s">
        <v>532</v>
      </c>
      <c r="K300" s="5">
        <v>13824</v>
      </c>
      <c r="L300" s="6">
        <v>45161</v>
      </c>
      <c r="M300" s="6">
        <v>45291</v>
      </c>
      <c r="N300" s="1" t="s">
        <v>1369</v>
      </c>
    </row>
    <row r="301" spans="1:14" x14ac:dyDescent="0.25">
      <c r="A301" s="4">
        <v>297</v>
      </c>
      <c r="B301" s="2" t="str">
        <f>HYPERLINK("https://my.zakupivli.pro/remote/dispatcher/state_purchase_view/40487836", "UA-2023-01-31-011568-a")</f>
        <v>UA-2023-01-31-011568-a</v>
      </c>
      <c r="C301" s="2" t="str">
        <f>HYPERLINK("https://my.zakupivli.pro/remote/dispatcher/state_contracting_view/15455262", "UA-2023-01-31-011568-a-c1")</f>
        <v>UA-2023-01-31-011568-a-c1</v>
      </c>
      <c r="D301" s="1" t="s">
        <v>193</v>
      </c>
      <c r="E301" s="1" t="s">
        <v>1409</v>
      </c>
      <c r="F301" s="1" t="s">
        <v>191</v>
      </c>
      <c r="G301" s="1" t="s">
        <v>1091</v>
      </c>
      <c r="H301" s="1" t="s">
        <v>1149</v>
      </c>
      <c r="I301" s="1" t="s">
        <v>230</v>
      </c>
      <c r="J301" s="1" t="s">
        <v>896</v>
      </c>
      <c r="K301" s="5">
        <v>46203</v>
      </c>
      <c r="L301" s="6">
        <v>44957</v>
      </c>
      <c r="M301" s="6">
        <v>45291</v>
      </c>
      <c r="N301" s="1" t="s">
        <v>1369</v>
      </c>
    </row>
    <row r="302" spans="1:14" x14ac:dyDescent="0.25">
      <c r="A302" s="4">
        <v>298</v>
      </c>
      <c r="B302" s="2" t="str">
        <f>HYPERLINK("https://my.zakupivli.pro/remote/dispatcher/state_purchase_view/44704896", "UA-2023-08-23-006039-a")</f>
        <v>UA-2023-08-23-006039-a</v>
      </c>
      <c r="C302" s="2" t="str">
        <f>HYPERLINK("https://my.zakupivli.pro/remote/dispatcher/state_contracting_view/17345653", "UA-2023-08-23-006039-a-c1")</f>
        <v>UA-2023-08-23-006039-a-c1</v>
      </c>
      <c r="D302" s="1" t="s">
        <v>921</v>
      </c>
      <c r="E302" s="1" t="s">
        <v>1208</v>
      </c>
      <c r="F302" s="1" t="s">
        <v>922</v>
      </c>
      <c r="G302" s="1" t="s">
        <v>1091</v>
      </c>
      <c r="H302" s="1" t="s">
        <v>1175</v>
      </c>
      <c r="I302" s="1" t="s">
        <v>151</v>
      </c>
      <c r="J302" s="1" t="s">
        <v>9</v>
      </c>
      <c r="K302" s="5">
        <v>21200</v>
      </c>
      <c r="L302" s="6">
        <v>45160</v>
      </c>
      <c r="M302" s="6">
        <v>45291</v>
      </c>
      <c r="N302" s="1" t="s">
        <v>1369</v>
      </c>
    </row>
    <row r="303" spans="1:14" x14ac:dyDescent="0.25">
      <c r="A303" s="4">
        <v>299</v>
      </c>
      <c r="B303" s="2" t="str">
        <f>HYPERLINK("https://my.zakupivli.pro/remote/dispatcher/state_purchase_view/45456539", "UA-2023-09-26-010571-a")</f>
        <v>UA-2023-09-26-010571-a</v>
      </c>
      <c r="C303" s="2" t="str">
        <f>HYPERLINK("https://my.zakupivli.pro/remote/dispatcher/state_contracting_view/17666563", "UA-2023-09-26-010571-a-b1")</f>
        <v>UA-2023-09-26-010571-a-b1</v>
      </c>
      <c r="D303" s="1" t="s">
        <v>196</v>
      </c>
      <c r="E303" s="1" t="s">
        <v>196</v>
      </c>
      <c r="F303" s="1" t="s">
        <v>194</v>
      </c>
      <c r="G303" s="1" t="s">
        <v>1091</v>
      </c>
      <c r="H303" s="1" t="s">
        <v>1346</v>
      </c>
      <c r="I303" s="1" t="s">
        <v>230</v>
      </c>
      <c r="J303" s="1" t="s">
        <v>699</v>
      </c>
      <c r="K303" s="5">
        <v>1484</v>
      </c>
      <c r="L303" s="6">
        <v>45195</v>
      </c>
      <c r="M303" s="6">
        <v>45291</v>
      </c>
      <c r="N303" s="1" t="s">
        <v>1369</v>
      </c>
    </row>
    <row r="304" spans="1:14" x14ac:dyDescent="0.25">
      <c r="A304" s="4">
        <v>300</v>
      </c>
      <c r="B304" s="2" t="str">
        <f>HYPERLINK("https://my.zakupivli.pro/remote/dispatcher/state_purchase_view/47587402", "UA-2023-12-13-014640-a")</f>
        <v>UA-2023-12-13-014640-a</v>
      </c>
      <c r="C304" s="2" t="str">
        <f>HYPERLINK("https://my.zakupivli.pro/remote/dispatcher/state_contracting_view/18567494", "UA-2023-12-13-014640-a-a1")</f>
        <v>UA-2023-12-13-014640-a-a1</v>
      </c>
      <c r="D304" s="1" t="s">
        <v>585</v>
      </c>
      <c r="E304" s="1" t="s">
        <v>1430</v>
      </c>
      <c r="F304" s="1" t="s">
        <v>594</v>
      </c>
      <c r="G304" s="1" t="s">
        <v>1091</v>
      </c>
      <c r="H304" s="1" t="s">
        <v>1148</v>
      </c>
      <c r="I304" s="1" t="s">
        <v>282</v>
      </c>
      <c r="J304" s="1" t="s">
        <v>870</v>
      </c>
      <c r="K304" s="5">
        <v>4370</v>
      </c>
      <c r="L304" s="6">
        <v>45272</v>
      </c>
      <c r="M304" s="6">
        <v>45291</v>
      </c>
      <c r="N304" s="1" t="s">
        <v>1369</v>
      </c>
    </row>
    <row r="305" spans="1:14" x14ac:dyDescent="0.25">
      <c r="A305" s="4">
        <v>301</v>
      </c>
      <c r="B305" s="2" t="str">
        <f>HYPERLINK("https://my.zakupivli.pro/remote/dispatcher/state_purchase_view/45842880", "UA-2023-10-12-011948-a")</f>
        <v>UA-2023-10-12-011948-a</v>
      </c>
      <c r="C305" s="2" t="str">
        <f>HYPERLINK("https://my.zakupivli.pro/remote/dispatcher/state_contracting_view/18054642", "UA-2023-10-12-011948-a-a1")</f>
        <v>UA-2023-10-12-011948-a-a1</v>
      </c>
      <c r="D305" s="1" t="s">
        <v>789</v>
      </c>
      <c r="E305" s="1" t="s">
        <v>791</v>
      </c>
      <c r="F305" s="1" t="s">
        <v>790</v>
      </c>
      <c r="G305" s="1" t="s">
        <v>1056</v>
      </c>
      <c r="H305" s="1" t="s">
        <v>1133</v>
      </c>
      <c r="I305" s="1" t="s">
        <v>770</v>
      </c>
      <c r="J305" s="1" t="s">
        <v>805</v>
      </c>
      <c r="K305" s="5">
        <v>309110.68</v>
      </c>
      <c r="L305" s="6">
        <v>45232</v>
      </c>
      <c r="M305" s="6">
        <v>45291</v>
      </c>
      <c r="N305" s="1" t="s">
        <v>1399</v>
      </c>
    </row>
    <row r="306" spans="1:14" x14ac:dyDescent="0.25">
      <c r="A306" s="4">
        <v>302</v>
      </c>
      <c r="B306" s="2" t="str">
        <f>HYPERLINK("https://my.zakupivli.pro/remote/dispatcher/state_purchase_view/44990301", "UA-2023-09-06-011967-a")</f>
        <v>UA-2023-09-06-011967-a</v>
      </c>
      <c r="C306" s="2" t="str">
        <f>HYPERLINK("https://my.zakupivli.pro/remote/dispatcher/state_contracting_view/17468854", "UA-2023-09-06-011967-a-b1")</f>
        <v>UA-2023-09-06-011967-a-b1</v>
      </c>
      <c r="D306" s="1" t="s">
        <v>383</v>
      </c>
      <c r="E306" s="1" t="s">
        <v>1454</v>
      </c>
      <c r="F306" s="1" t="s">
        <v>384</v>
      </c>
      <c r="G306" s="1" t="s">
        <v>1091</v>
      </c>
      <c r="H306" s="1" t="s">
        <v>1265</v>
      </c>
      <c r="I306" s="1" t="s">
        <v>551</v>
      </c>
      <c r="J306" s="1" t="s">
        <v>554</v>
      </c>
      <c r="K306" s="5">
        <v>41472</v>
      </c>
      <c r="L306" s="6">
        <v>45173</v>
      </c>
      <c r="M306" s="6">
        <v>45291</v>
      </c>
      <c r="N306" s="1" t="s">
        <v>1369</v>
      </c>
    </row>
    <row r="307" spans="1:14" x14ac:dyDescent="0.25">
      <c r="A307" s="4">
        <v>303</v>
      </c>
      <c r="B307" s="2" t="str">
        <f>HYPERLINK("https://my.zakupivli.pro/remote/dispatcher/state_purchase_view/47226519", "UA-2023-12-04-012720-a")</f>
        <v>UA-2023-12-04-012720-a</v>
      </c>
      <c r="C307" s="2" t="str">
        <f>HYPERLINK("https://my.zakupivli.pro/remote/dispatcher/state_contracting_view/18417771", "UA-2023-12-04-012720-a-b1")</f>
        <v>UA-2023-12-04-012720-a-b1</v>
      </c>
      <c r="D307" s="1" t="s">
        <v>625</v>
      </c>
      <c r="E307" s="1" t="s">
        <v>627</v>
      </c>
      <c r="F307" s="1" t="s">
        <v>626</v>
      </c>
      <c r="G307" s="1" t="s">
        <v>1091</v>
      </c>
      <c r="H307" s="1" t="s">
        <v>1159</v>
      </c>
      <c r="I307" s="1" t="s">
        <v>251</v>
      </c>
      <c r="J307" s="1" t="s">
        <v>857</v>
      </c>
      <c r="K307" s="5">
        <v>33000</v>
      </c>
      <c r="L307" s="6">
        <v>45264</v>
      </c>
      <c r="M307" s="6">
        <v>45291</v>
      </c>
      <c r="N307" s="1" t="s">
        <v>1369</v>
      </c>
    </row>
    <row r="308" spans="1:14" x14ac:dyDescent="0.25">
      <c r="A308" s="4">
        <v>304</v>
      </c>
      <c r="B308" s="2" t="str">
        <f>HYPERLINK("https://my.zakupivli.pro/remote/dispatcher/state_purchase_view/42191132", "UA-2023-04-26-001743-a")</f>
        <v>UA-2023-04-26-001743-a</v>
      </c>
      <c r="C308" s="2" t="str">
        <f>HYPERLINK("https://my.zakupivli.pro/remote/dispatcher/state_contracting_view/16510461", "UA-2023-04-26-001743-a-b1")</f>
        <v>UA-2023-04-26-001743-a-b1</v>
      </c>
      <c r="D308" s="1" t="s">
        <v>473</v>
      </c>
      <c r="E308" s="1" t="s">
        <v>1057</v>
      </c>
      <c r="F308" s="1" t="s">
        <v>471</v>
      </c>
      <c r="G308" s="1" t="s">
        <v>1056</v>
      </c>
      <c r="H308" s="1" t="s">
        <v>1254</v>
      </c>
      <c r="I308" s="1" t="s">
        <v>628</v>
      </c>
      <c r="J308" s="1" t="s">
        <v>177</v>
      </c>
      <c r="K308" s="5">
        <v>2015520</v>
      </c>
      <c r="L308" s="6">
        <v>45069</v>
      </c>
      <c r="M308" s="6">
        <v>45291</v>
      </c>
      <c r="N308" s="1" t="s">
        <v>1399</v>
      </c>
    </row>
    <row r="309" spans="1:14" x14ac:dyDescent="0.25">
      <c r="A309" s="4">
        <v>305</v>
      </c>
      <c r="B309" s="2" t="str">
        <f>HYPERLINK("https://my.zakupivli.pro/remote/dispatcher/state_purchase_view/40569037", "UA-2023-02-02-015378-a")</f>
        <v>UA-2023-02-02-015378-a</v>
      </c>
      <c r="C309" s="2" t="str">
        <f>HYPERLINK("https://my.zakupivli.pro/remote/dispatcher/state_contracting_view/15712156", "UA-2023-02-02-015378-a-c1")</f>
        <v>UA-2023-02-02-015378-a-c1</v>
      </c>
      <c r="D309" s="1" t="s">
        <v>743</v>
      </c>
      <c r="E309" s="1" t="s">
        <v>1109</v>
      </c>
      <c r="F309" s="1" t="s">
        <v>742</v>
      </c>
      <c r="G309" s="1" t="s">
        <v>1056</v>
      </c>
      <c r="H309" s="1" t="s">
        <v>1247</v>
      </c>
      <c r="I309" s="1" t="s">
        <v>399</v>
      </c>
      <c r="J309" s="1" t="s">
        <v>1018</v>
      </c>
      <c r="K309" s="5">
        <v>2771433</v>
      </c>
      <c r="L309" s="6">
        <v>44979</v>
      </c>
      <c r="M309" s="6">
        <v>45291</v>
      </c>
      <c r="N309" s="1" t="s">
        <v>1399</v>
      </c>
    </row>
    <row r="310" spans="1:14" x14ac:dyDescent="0.25">
      <c r="A310" s="4">
        <v>306</v>
      </c>
      <c r="B310" s="2" t="str">
        <f>HYPERLINK("https://my.zakupivli.pro/remote/dispatcher/state_purchase_view/47010977", "UA-2023-11-27-007406-a")</f>
        <v>UA-2023-11-27-007406-a</v>
      </c>
      <c r="C310" s="2" t="str">
        <f>HYPERLINK("https://my.zakupivli.pro/remote/dispatcher/state_contracting_view/18634287", "UA-2023-11-27-007406-a-a1")</f>
        <v>UA-2023-11-27-007406-a-a1</v>
      </c>
      <c r="D310" s="1" t="s">
        <v>394</v>
      </c>
      <c r="E310" s="1" t="s">
        <v>1117</v>
      </c>
      <c r="F310" s="1" t="s">
        <v>396</v>
      </c>
      <c r="G310" s="1" t="s">
        <v>1056</v>
      </c>
      <c r="H310" s="1" t="s">
        <v>1168</v>
      </c>
      <c r="I310" s="1" t="s">
        <v>497</v>
      </c>
      <c r="J310" s="1" t="s">
        <v>875</v>
      </c>
      <c r="K310" s="5">
        <v>1852632</v>
      </c>
      <c r="L310" s="6">
        <v>45278</v>
      </c>
      <c r="M310" s="6">
        <v>45291</v>
      </c>
      <c r="N310" s="1" t="s">
        <v>1399</v>
      </c>
    </row>
    <row r="311" spans="1:14" x14ac:dyDescent="0.25">
      <c r="A311" s="4">
        <v>307</v>
      </c>
      <c r="B311" s="2" t="str">
        <f>HYPERLINK("https://my.zakupivli.pro/remote/dispatcher/state_purchase_view/41957032", "UA-2023-04-12-006395-a")</f>
        <v>UA-2023-04-12-006395-a</v>
      </c>
      <c r="C311" s="2" t="str">
        <f>HYPERLINK("https://my.zakupivli.pro/remote/dispatcher/state_contracting_view/16533703", "UA-2023-04-12-006395-a-b2")</f>
        <v>UA-2023-04-12-006395-a-b2</v>
      </c>
      <c r="D311" s="1" t="s">
        <v>463</v>
      </c>
      <c r="E311" s="1" t="s">
        <v>1041</v>
      </c>
      <c r="F311" s="1" t="s">
        <v>460</v>
      </c>
      <c r="G311" s="1" t="s">
        <v>1056</v>
      </c>
      <c r="H311" s="1" t="s">
        <v>1335</v>
      </c>
      <c r="I311" s="1" t="s">
        <v>258</v>
      </c>
      <c r="J311" s="1" t="s">
        <v>190</v>
      </c>
      <c r="K311" s="5">
        <v>1278198</v>
      </c>
      <c r="L311" s="6">
        <v>45071</v>
      </c>
      <c r="M311" s="6">
        <v>45291</v>
      </c>
      <c r="N311" s="1" t="s">
        <v>1399</v>
      </c>
    </row>
    <row r="312" spans="1:14" x14ac:dyDescent="0.25">
      <c r="A312" s="4">
        <v>308</v>
      </c>
      <c r="B312" s="2" t="str">
        <f>HYPERLINK("https://my.zakupivli.pro/remote/dispatcher/state_purchase_view/46196975", "UA-2023-10-26-009272-a")</f>
        <v>UA-2023-10-26-009272-a</v>
      </c>
      <c r="C312" s="2" t="str">
        <f>HYPERLINK("https://my.zakupivli.pro/remote/dispatcher/state_contracting_view/17981519", "UA-2023-10-26-009272-a-b1")</f>
        <v>UA-2023-10-26-009272-a-b1</v>
      </c>
      <c r="D312" s="1" t="s">
        <v>672</v>
      </c>
      <c r="E312" s="1" t="s">
        <v>1116</v>
      </c>
      <c r="F312" s="1" t="s">
        <v>673</v>
      </c>
      <c r="G312" s="1" t="s">
        <v>1091</v>
      </c>
      <c r="H312" s="1" t="s">
        <v>1283</v>
      </c>
      <c r="I312" s="1" t="s">
        <v>506</v>
      </c>
      <c r="J312" s="1" t="s">
        <v>795</v>
      </c>
      <c r="K312" s="5">
        <v>1633878</v>
      </c>
      <c r="L312" s="6">
        <v>45222</v>
      </c>
      <c r="M312" s="6">
        <v>45291</v>
      </c>
      <c r="N312" s="1" t="s">
        <v>1369</v>
      </c>
    </row>
    <row r="313" spans="1:14" x14ac:dyDescent="0.25">
      <c r="A313" s="4">
        <v>309</v>
      </c>
      <c r="B313" s="2" t="str">
        <f>HYPERLINK("https://my.zakupivli.pro/remote/dispatcher/state_purchase_view/46810864", "UA-2023-11-20-012422-a")</f>
        <v>UA-2023-11-20-012422-a</v>
      </c>
      <c r="C313" s="2" t="str">
        <f>HYPERLINK("https://my.zakupivli.pro/remote/dispatcher/state_contracting_view/18243756", "UA-2023-11-20-012422-a-a1")</f>
        <v>UA-2023-11-20-012422-a-a1</v>
      </c>
      <c r="D313" s="1" t="s">
        <v>126</v>
      </c>
      <c r="E313" s="1" t="s">
        <v>1234</v>
      </c>
      <c r="F313" s="1" t="s">
        <v>127</v>
      </c>
      <c r="G313" s="1" t="s">
        <v>1091</v>
      </c>
      <c r="H313" s="1" t="s">
        <v>1106</v>
      </c>
      <c r="I313" s="1" t="s">
        <v>158</v>
      </c>
      <c r="J313" s="1" t="s">
        <v>823</v>
      </c>
      <c r="K313" s="5">
        <v>15504</v>
      </c>
      <c r="L313" s="6">
        <v>45250</v>
      </c>
      <c r="M313" s="6">
        <v>45291</v>
      </c>
      <c r="N313" s="1" t="s">
        <v>1369</v>
      </c>
    </row>
    <row r="314" spans="1:14" x14ac:dyDescent="0.25">
      <c r="A314" s="4">
        <v>310</v>
      </c>
      <c r="B314" s="2" t="str">
        <f>HYPERLINK("https://my.zakupivli.pro/remote/dispatcher/state_purchase_view/46811883", "UA-2023-11-20-012978-a")</f>
        <v>UA-2023-11-20-012978-a</v>
      </c>
      <c r="C314" s="2" t="str">
        <f>HYPERLINK("https://my.zakupivli.pro/remote/dispatcher/state_contracting_view/18244282", "UA-2023-11-20-012978-a-b1")</f>
        <v>UA-2023-11-20-012978-a-b1</v>
      </c>
      <c r="D314" s="1" t="s">
        <v>120</v>
      </c>
      <c r="E314" s="1" t="s">
        <v>1477</v>
      </c>
      <c r="F314" s="1" t="s">
        <v>118</v>
      </c>
      <c r="G314" s="1" t="s">
        <v>1091</v>
      </c>
      <c r="H314" s="1" t="s">
        <v>1106</v>
      </c>
      <c r="I314" s="1" t="s">
        <v>158</v>
      </c>
      <c r="J314" s="1" t="s">
        <v>824</v>
      </c>
      <c r="K314" s="5">
        <v>27300</v>
      </c>
      <c r="L314" s="6">
        <v>45250</v>
      </c>
      <c r="M314" s="6">
        <v>45291</v>
      </c>
      <c r="N314" s="1" t="s">
        <v>1369</v>
      </c>
    </row>
    <row r="315" spans="1:14" x14ac:dyDescent="0.25">
      <c r="A315" s="4">
        <v>311</v>
      </c>
      <c r="B315" s="2" t="str">
        <f>HYPERLINK("https://my.zakupivli.pro/remote/dispatcher/state_purchase_view/47935489", "UA-2023-12-22-001525-a")</f>
        <v>UA-2023-12-22-001525-a</v>
      </c>
      <c r="C315" s="2" t="str">
        <f>HYPERLINK("https://my.zakupivli.pro/remote/dispatcher/state_contracting_view/18720206", "UA-2023-12-22-001525-a-b1")</f>
        <v>UA-2023-12-22-001525-a-b1</v>
      </c>
      <c r="D315" s="1" t="s">
        <v>608</v>
      </c>
      <c r="E315" s="1" t="s">
        <v>1380</v>
      </c>
      <c r="F315" s="1" t="s">
        <v>611</v>
      </c>
      <c r="G315" s="1" t="s">
        <v>1091</v>
      </c>
      <c r="H315" s="1" t="s">
        <v>1177</v>
      </c>
      <c r="I315" s="1" t="s">
        <v>498</v>
      </c>
      <c r="J315" s="1" t="s">
        <v>881</v>
      </c>
      <c r="K315" s="5">
        <v>44016</v>
      </c>
      <c r="L315" s="6">
        <v>45281</v>
      </c>
      <c r="M315" s="6">
        <v>45291</v>
      </c>
      <c r="N315" s="1" t="s">
        <v>1369</v>
      </c>
    </row>
    <row r="316" spans="1:14" x14ac:dyDescent="0.25">
      <c r="A316" s="4">
        <v>312</v>
      </c>
      <c r="B316" s="2" t="str">
        <f>HYPERLINK("https://my.zakupivli.pro/remote/dispatcher/state_purchase_view/46456072", "UA-2023-11-07-009423-a")</f>
        <v>UA-2023-11-07-009423-a</v>
      </c>
      <c r="C316" s="2" t="str">
        <f>HYPERLINK("https://my.zakupivli.pro/remote/dispatcher/state_contracting_view/18093416", "UA-2023-11-07-009423-a-c1")</f>
        <v>UA-2023-11-07-009423-a-c1</v>
      </c>
      <c r="D316" s="1" t="s">
        <v>705</v>
      </c>
      <c r="E316" s="1" t="s">
        <v>706</v>
      </c>
      <c r="F316" s="1" t="s">
        <v>703</v>
      </c>
      <c r="G316" s="1" t="s">
        <v>1091</v>
      </c>
      <c r="H316" s="1" t="s">
        <v>1265</v>
      </c>
      <c r="I316" s="1" t="s">
        <v>551</v>
      </c>
      <c r="J316" s="1" t="s">
        <v>808</v>
      </c>
      <c r="K316" s="5">
        <v>19342.009999999998</v>
      </c>
      <c r="L316" s="6">
        <v>45236</v>
      </c>
      <c r="M316" s="6">
        <v>45291</v>
      </c>
      <c r="N316" s="1" t="s">
        <v>1369</v>
      </c>
    </row>
    <row r="317" spans="1:14" x14ac:dyDescent="0.25">
      <c r="A317" s="4">
        <v>313</v>
      </c>
      <c r="B317" s="2" t="str">
        <f>HYPERLINK("https://my.zakupivli.pro/remote/dispatcher/state_purchase_view/46285828", "UA-2023-10-31-005963-a")</f>
        <v>UA-2023-10-31-005963-a</v>
      </c>
      <c r="C317" s="2" t="str">
        <f>HYPERLINK("https://my.zakupivli.pro/remote/dispatcher/state_contracting_view/18020544", "UA-2023-10-31-005963-a-c1")</f>
        <v>UA-2023-10-31-005963-a-c1</v>
      </c>
      <c r="D317" s="1" t="s">
        <v>758</v>
      </c>
      <c r="E317" s="1" t="s">
        <v>761</v>
      </c>
      <c r="F317" s="1" t="s">
        <v>760</v>
      </c>
      <c r="G317" s="1" t="s">
        <v>1091</v>
      </c>
      <c r="H317" s="1" t="s">
        <v>1265</v>
      </c>
      <c r="I317" s="1" t="s">
        <v>551</v>
      </c>
      <c r="J317" s="1" t="s">
        <v>800</v>
      </c>
      <c r="K317" s="5">
        <v>48733.98</v>
      </c>
      <c r="L317" s="6">
        <v>45226</v>
      </c>
      <c r="M317" s="6">
        <v>45291</v>
      </c>
      <c r="N317" s="1" t="s">
        <v>1369</v>
      </c>
    </row>
    <row r="318" spans="1:14" x14ac:dyDescent="0.25">
      <c r="A318" s="4">
        <v>314</v>
      </c>
      <c r="B318" s="2" t="str">
        <f>HYPERLINK("https://my.zakupivli.pro/remote/dispatcher/state_purchase_view/46123540", "UA-2023-10-24-008747-a")</f>
        <v>UA-2023-10-24-008747-a</v>
      </c>
      <c r="C318" s="2" t="str">
        <f>HYPERLINK("https://my.zakupivli.pro/remote/dispatcher/state_contracting_view/17950117", "UA-2023-10-24-008747-a-b1")</f>
        <v>UA-2023-10-24-008747-a-b1</v>
      </c>
      <c r="D318" s="1" t="s">
        <v>199</v>
      </c>
      <c r="E318" s="1" t="s">
        <v>199</v>
      </c>
      <c r="F318" s="1" t="s">
        <v>194</v>
      </c>
      <c r="G318" s="1" t="s">
        <v>1091</v>
      </c>
      <c r="H318" s="1" t="s">
        <v>1346</v>
      </c>
      <c r="I318" s="1" t="s">
        <v>230</v>
      </c>
      <c r="J318" s="1" t="s">
        <v>797</v>
      </c>
      <c r="K318" s="5">
        <v>1684</v>
      </c>
      <c r="L318" s="6">
        <v>45223</v>
      </c>
      <c r="M318" s="6">
        <v>45291</v>
      </c>
      <c r="N318" s="1" t="s">
        <v>1369</v>
      </c>
    </row>
    <row r="319" spans="1:14" x14ac:dyDescent="0.25">
      <c r="A319" s="4">
        <v>315</v>
      </c>
      <c r="B319" s="2" t="str">
        <f>HYPERLINK("https://my.zakupivli.pro/remote/dispatcher/state_purchase_view/48073228", "UA-2023-12-27-007677-a")</f>
        <v>UA-2023-12-27-007677-a</v>
      </c>
      <c r="C319" s="2" t="str">
        <f>HYPERLINK("https://my.zakupivli.pro/remote/dispatcher/state_contracting_view/18784447", "UA-2023-12-27-007677-a-c1")</f>
        <v>UA-2023-12-27-007677-a-c1</v>
      </c>
      <c r="D319" s="1" t="s">
        <v>119</v>
      </c>
      <c r="E319" s="1" t="s">
        <v>122</v>
      </c>
      <c r="F319" s="1" t="s">
        <v>121</v>
      </c>
      <c r="G319" s="1" t="s">
        <v>1091</v>
      </c>
      <c r="H319" s="1" t="s">
        <v>1106</v>
      </c>
      <c r="I319" s="1" t="s">
        <v>158</v>
      </c>
      <c r="J319" s="1" t="s">
        <v>888</v>
      </c>
      <c r="K319" s="5">
        <v>24255</v>
      </c>
      <c r="L319" s="6">
        <v>45287</v>
      </c>
      <c r="M319" s="6">
        <v>45291</v>
      </c>
      <c r="N319" s="1" t="s">
        <v>1369</v>
      </c>
    </row>
    <row r="320" spans="1:14" x14ac:dyDescent="0.25">
      <c r="A320" s="4">
        <v>316</v>
      </c>
      <c r="B320" s="2" t="str">
        <f>HYPERLINK("https://my.zakupivli.pro/remote/dispatcher/state_purchase_view/43961488", "UA-2023-07-17-007382-a")</f>
        <v>UA-2023-07-17-007382-a</v>
      </c>
      <c r="C320" s="2" t="str">
        <f>HYPERLINK("https://my.zakupivli.pro/remote/dispatcher/state_contracting_view/17196089", "UA-2023-07-17-007382-a-c1")</f>
        <v>UA-2023-07-17-007382-a-c1</v>
      </c>
      <c r="D320" s="1" t="s">
        <v>675</v>
      </c>
      <c r="E320" s="1" t="s">
        <v>1209</v>
      </c>
      <c r="F320" s="1" t="s">
        <v>676</v>
      </c>
      <c r="G320" s="1" t="s">
        <v>1056</v>
      </c>
      <c r="H320" s="1" t="s">
        <v>1132</v>
      </c>
      <c r="I320" s="1" t="s">
        <v>773</v>
      </c>
      <c r="J320" s="1" t="s">
        <v>507</v>
      </c>
      <c r="K320" s="5">
        <v>255703.2</v>
      </c>
      <c r="L320" s="6">
        <v>45145</v>
      </c>
      <c r="M320" s="6">
        <v>45291</v>
      </c>
      <c r="N320" s="1" t="s">
        <v>1399</v>
      </c>
    </row>
    <row r="321" spans="1:14" x14ac:dyDescent="0.25">
      <c r="A321" s="4">
        <v>317</v>
      </c>
      <c r="B321" s="2" t="str">
        <f>HYPERLINK("https://my.zakupivli.pro/remote/dispatcher/state_purchase_view/43980578", "UA-2023-07-18-004721-a")</f>
        <v>UA-2023-07-18-004721-a</v>
      </c>
      <c r="C321" s="2" t="str">
        <f>HYPERLINK("https://my.zakupivli.pro/remote/dispatcher/state_contracting_view/17140974", "UA-2023-07-18-004721-a-c1")</f>
        <v>UA-2023-07-18-004721-a-c1</v>
      </c>
      <c r="D321" s="1" t="s">
        <v>1049</v>
      </c>
      <c r="E321" s="1" t="s">
        <v>1048</v>
      </c>
      <c r="F321" s="1" t="s">
        <v>21</v>
      </c>
      <c r="G321" s="1" t="s">
        <v>1092</v>
      </c>
      <c r="H321" s="1" t="s">
        <v>1096</v>
      </c>
      <c r="I321" s="1" t="s">
        <v>429</v>
      </c>
      <c r="J321" s="1" t="s">
        <v>1225</v>
      </c>
      <c r="K321" s="5">
        <v>1161360</v>
      </c>
      <c r="L321" s="6">
        <v>45138</v>
      </c>
      <c r="M321" s="6">
        <v>45291</v>
      </c>
      <c r="N321" s="1" t="s">
        <v>1399</v>
      </c>
    </row>
    <row r="322" spans="1:14" x14ac:dyDescent="0.25">
      <c r="A322" s="4">
        <v>318</v>
      </c>
      <c r="B322" s="2" t="str">
        <f>HYPERLINK("https://my.zakupivli.pro/remote/dispatcher/state_purchase_view/45315702", "UA-2023-09-20-008862-a")</f>
        <v>UA-2023-09-20-008862-a</v>
      </c>
      <c r="C322" s="2" t="str">
        <f>HYPERLINK("https://my.zakupivli.pro/remote/dispatcher/state_contracting_view/17606063", "UA-2023-09-20-008862-a-a1")</f>
        <v>UA-2023-09-20-008862-a-a1</v>
      </c>
      <c r="D322" s="1" t="s">
        <v>29</v>
      </c>
      <c r="E322" s="1" t="s">
        <v>1396</v>
      </c>
      <c r="F322" s="1" t="s">
        <v>28</v>
      </c>
      <c r="G322" s="1" t="s">
        <v>1091</v>
      </c>
      <c r="H322" s="1" t="s">
        <v>1071</v>
      </c>
      <c r="I322" s="1" t="s">
        <v>133</v>
      </c>
      <c r="J322" s="1" t="s">
        <v>687</v>
      </c>
      <c r="K322" s="5">
        <v>1074100.31</v>
      </c>
      <c r="L322" s="6">
        <v>45187</v>
      </c>
      <c r="M322" s="6">
        <v>45277</v>
      </c>
      <c r="N322" s="1" t="s">
        <v>1399</v>
      </c>
    </row>
    <row r="323" spans="1:14" x14ac:dyDescent="0.25">
      <c r="A323" s="4">
        <v>319</v>
      </c>
      <c r="B323" s="2" t="str">
        <f>HYPERLINK("https://my.zakupivli.pro/remote/dispatcher/state_purchase_view/39954500", "UA-2023-01-06-003687-a")</f>
        <v>UA-2023-01-06-003687-a</v>
      </c>
      <c r="C323" s="2" t="str">
        <f>HYPERLINK("https://my.zakupivli.pro/remote/dispatcher/state_contracting_view/15215071", "UA-2023-01-06-003687-a-a1")</f>
        <v>UA-2023-01-06-003687-a-a1</v>
      </c>
      <c r="D323" s="1" t="s">
        <v>932</v>
      </c>
      <c r="E323" s="1" t="s">
        <v>1316</v>
      </c>
      <c r="F323" s="1" t="s">
        <v>931</v>
      </c>
      <c r="G323" s="1" t="s">
        <v>1091</v>
      </c>
      <c r="H323" s="1" t="s">
        <v>1156</v>
      </c>
      <c r="I323" s="1" t="s">
        <v>315</v>
      </c>
      <c r="J323" s="1" t="s">
        <v>156</v>
      </c>
      <c r="K323" s="5">
        <v>99800</v>
      </c>
      <c r="L323" s="6">
        <v>44930</v>
      </c>
      <c r="M323" s="6">
        <v>45077</v>
      </c>
      <c r="N323" s="1" t="s">
        <v>1369</v>
      </c>
    </row>
    <row r="324" spans="1:14" x14ac:dyDescent="0.25">
      <c r="A324" s="4">
        <v>320</v>
      </c>
      <c r="B324" s="2" t="str">
        <f>HYPERLINK("https://my.zakupivli.pro/remote/dispatcher/state_purchase_view/40121104", "UA-2023-01-17-014165-a")</f>
        <v>UA-2023-01-17-014165-a</v>
      </c>
      <c r="C324" s="2" t="str">
        <f>HYPERLINK("https://my.zakupivli.pro/remote/dispatcher/state_contracting_view/15287018", "UA-2023-01-17-014165-a-b1")</f>
        <v>UA-2023-01-17-014165-a-b1</v>
      </c>
      <c r="D324" s="1" t="s">
        <v>893</v>
      </c>
      <c r="E324" s="1" t="s">
        <v>1033</v>
      </c>
      <c r="F324" s="1" t="s">
        <v>894</v>
      </c>
      <c r="G324" s="1" t="s">
        <v>1091</v>
      </c>
      <c r="H324" s="1" t="s">
        <v>1332</v>
      </c>
      <c r="I324" s="1" t="s">
        <v>272</v>
      </c>
      <c r="J324" s="1" t="s">
        <v>553</v>
      </c>
      <c r="K324" s="5">
        <v>23485</v>
      </c>
      <c r="L324" s="6">
        <v>44942</v>
      </c>
      <c r="M324" s="6">
        <v>44976</v>
      </c>
      <c r="N324" s="1" t="s">
        <v>1369</v>
      </c>
    </row>
    <row r="325" spans="1:14" x14ac:dyDescent="0.25">
      <c r="A325" s="4">
        <v>321</v>
      </c>
      <c r="B325" s="2" t="str">
        <f>HYPERLINK("https://my.zakupivli.pro/remote/dispatcher/state_purchase_view/39926502", "UA-2023-01-04-003477-a")</f>
        <v>UA-2023-01-04-003477-a</v>
      </c>
      <c r="C325" s="2" t="str">
        <f>HYPERLINK("https://my.zakupivli.pro/remote/dispatcher/state_contracting_view/15202847", "UA-2023-01-04-003477-a-c1")</f>
        <v>UA-2023-01-04-003477-a-c1</v>
      </c>
      <c r="D325" s="1" t="s">
        <v>417</v>
      </c>
      <c r="E325" s="1" t="s">
        <v>1144</v>
      </c>
      <c r="F325" s="1" t="s">
        <v>414</v>
      </c>
      <c r="G325" s="1" t="s">
        <v>1091</v>
      </c>
      <c r="H325" s="1" t="s">
        <v>1350</v>
      </c>
      <c r="I325" s="1" t="s">
        <v>273</v>
      </c>
      <c r="J325" s="1" t="s">
        <v>891</v>
      </c>
      <c r="K325" s="5">
        <v>13070</v>
      </c>
      <c r="L325" s="6">
        <v>44929</v>
      </c>
      <c r="M325" s="6">
        <v>44976</v>
      </c>
      <c r="N325" s="1" t="s">
        <v>1369</v>
      </c>
    </row>
    <row r="326" spans="1:14" x14ac:dyDescent="0.25">
      <c r="A326" s="1" t="s">
        <v>1094</v>
      </c>
    </row>
  </sheetData>
  <autoFilter ref="A4:N326"/>
  <hyperlinks>
    <hyperlink ref="A2" r:id="rId1" display="mailto:report-feedback@zakupivli.pro"/>
    <hyperlink ref="B5" r:id="rId2" display="https://my.zakupivli.pro/remote/dispatcher/state_purchase_view/40258937"/>
    <hyperlink ref="C5" r:id="rId3" display="https://my.zakupivli.pro/remote/dispatcher/state_contracting_view/15348144"/>
    <hyperlink ref="B6" r:id="rId4" display="https://my.zakupivli.pro/remote/dispatcher/state_purchase_view/40599042"/>
    <hyperlink ref="C6" r:id="rId5" display="https://my.zakupivli.pro/remote/dispatcher/state_contracting_view/15507620"/>
    <hyperlink ref="B7" r:id="rId6" display="https://my.zakupivli.pro/remote/dispatcher/state_purchase_view/40327803"/>
    <hyperlink ref="C7" r:id="rId7" display="https://my.zakupivli.pro/remote/dispatcher/state_contracting_view/15379562"/>
    <hyperlink ref="B8" r:id="rId8" display="https://my.zakupivli.pro/remote/dispatcher/state_purchase_view/39968891"/>
    <hyperlink ref="C8" r:id="rId9" display="https://my.zakupivli.pro/remote/dispatcher/state_contracting_view/15379792"/>
    <hyperlink ref="B9" r:id="rId10" display="https://my.zakupivli.pro/remote/dispatcher/state_purchase_view/40775317"/>
    <hyperlink ref="C9" r:id="rId11" display="https://my.zakupivli.pro/remote/dispatcher/state_contracting_view/15591290"/>
    <hyperlink ref="B10" r:id="rId12" display="https://my.zakupivli.pro/remote/dispatcher/state_purchase_view/40775527"/>
    <hyperlink ref="C10" r:id="rId13" display="https://my.zakupivli.pro/remote/dispatcher/state_contracting_view/15591412"/>
    <hyperlink ref="B11" r:id="rId14" display="https://my.zakupivli.pro/remote/dispatcher/state_purchase_view/40968937"/>
    <hyperlink ref="C11" r:id="rId15" display="https://my.zakupivli.pro/remote/dispatcher/state_contracting_view/15681937"/>
    <hyperlink ref="B12" r:id="rId16" display="https://my.zakupivli.pro/remote/dispatcher/state_purchase_view/40969824"/>
    <hyperlink ref="C12" r:id="rId17" display="https://my.zakupivli.pro/remote/dispatcher/state_contracting_view/15682223"/>
    <hyperlink ref="B13" r:id="rId18" display="https://my.zakupivli.pro/remote/dispatcher/state_purchase_view/41219339"/>
    <hyperlink ref="C13" r:id="rId19" display="https://my.zakupivli.pro/remote/dispatcher/state_contracting_view/15798956"/>
    <hyperlink ref="B14" r:id="rId20" display="https://my.zakupivli.pro/remote/dispatcher/state_purchase_view/40706735"/>
    <hyperlink ref="C14" r:id="rId21" display="https://my.zakupivli.pro/remote/dispatcher/state_contracting_view/15558066"/>
    <hyperlink ref="B15" r:id="rId22" display="https://my.zakupivli.pro/remote/dispatcher/state_purchase_view/39925817"/>
    <hyperlink ref="C15" r:id="rId23" display="https://my.zakupivli.pro/remote/dispatcher/state_contracting_view/15202656"/>
    <hyperlink ref="B16" r:id="rId24" display="https://my.zakupivli.pro/remote/dispatcher/state_purchase_view/39956129"/>
    <hyperlink ref="C16" r:id="rId25" display="https://my.zakupivli.pro/remote/dispatcher/state_contracting_view/15215761"/>
    <hyperlink ref="B17" r:id="rId26" display="https://my.zakupivli.pro/remote/dispatcher/state_purchase_view/40053485"/>
    <hyperlink ref="C17" r:id="rId27" display="https://my.zakupivli.pro/remote/dispatcher/state_contracting_view/15257604"/>
    <hyperlink ref="B18" r:id="rId28" display="https://my.zakupivli.pro/remote/dispatcher/state_purchase_view/40048577"/>
    <hyperlink ref="C18" r:id="rId29" display="https://my.zakupivli.pro/remote/dispatcher/state_contracting_view/15255449"/>
    <hyperlink ref="B19" r:id="rId30" display="https://my.zakupivli.pro/remote/dispatcher/state_purchase_view/40079113"/>
    <hyperlink ref="C19" r:id="rId31" display="https://my.zakupivli.pro/remote/dispatcher/state_contracting_view/15268420"/>
    <hyperlink ref="B20" r:id="rId32" display="https://my.zakupivli.pro/remote/dispatcher/state_purchase_view/40078229"/>
    <hyperlink ref="C20" r:id="rId33" display="https://my.zakupivli.pro/remote/dispatcher/state_contracting_view/15268182"/>
    <hyperlink ref="B21" r:id="rId34" display="https://my.zakupivli.pro/remote/dispatcher/state_purchase_view/42021369"/>
    <hyperlink ref="C21" r:id="rId35" display="https://my.zakupivli.pro/remote/dispatcher/state_contracting_view/16143010"/>
    <hyperlink ref="B22" r:id="rId36" display="https://my.zakupivli.pro/remote/dispatcher/state_purchase_view/44203910"/>
    <hyperlink ref="C22" r:id="rId37" display="https://my.zakupivli.pro/remote/dispatcher/state_contracting_view/17131487"/>
    <hyperlink ref="B23" r:id="rId38" display="https://my.zakupivli.pro/remote/dispatcher/state_purchase_view/42237015"/>
    <hyperlink ref="C23" r:id="rId39" display="https://my.zakupivli.pro/remote/dispatcher/state_contracting_view/16237190"/>
    <hyperlink ref="B24" r:id="rId40" display="https://my.zakupivli.pro/remote/dispatcher/state_purchase_view/42694695"/>
    <hyperlink ref="C24" r:id="rId41" display="https://my.zakupivli.pro/remote/dispatcher/state_contracting_view/16446998"/>
    <hyperlink ref="B25" r:id="rId42" display="https://my.zakupivli.pro/remote/dispatcher/state_purchase_view/43550384"/>
    <hyperlink ref="C25" r:id="rId43" display="https://my.zakupivli.pro/remote/dispatcher/state_contracting_view/16847196"/>
    <hyperlink ref="B26" r:id="rId44" display="https://my.zakupivli.pro/remote/dispatcher/state_purchase_view/43643890"/>
    <hyperlink ref="C26" r:id="rId45" display="https://my.zakupivli.pro/remote/dispatcher/state_contracting_view/16888452"/>
    <hyperlink ref="B27" r:id="rId46" display="https://my.zakupivli.pro/remote/dispatcher/state_purchase_view/42568969"/>
    <hyperlink ref="C27" r:id="rId47" display="https://my.zakupivli.pro/remote/dispatcher/state_contracting_view/16389884"/>
    <hyperlink ref="B28" r:id="rId48" display="https://my.zakupivli.pro/remote/dispatcher/state_purchase_view/42568976"/>
    <hyperlink ref="C28" r:id="rId49" display="https://my.zakupivli.pro/remote/dispatcher/state_contracting_view/16389886"/>
    <hyperlink ref="B29" r:id="rId50" display="https://my.zakupivli.pro/remote/dispatcher/state_purchase_view/45633099"/>
    <hyperlink ref="C29" r:id="rId51" display="https://my.zakupivli.pro/remote/dispatcher/state_contracting_view/17741093"/>
    <hyperlink ref="B30" r:id="rId52" display="https://my.zakupivli.pro/remote/dispatcher/state_purchase_view/46290725"/>
    <hyperlink ref="C30" r:id="rId53" display="https://my.zakupivli.pro/remote/dispatcher/state_contracting_view/18022636"/>
    <hyperlink ref="B31" r:id="rId54" display="https://my.zakupivli.pro/remote/dispatcher/state_purchase_view/46626500"/>
    <hyperlink ref="C31" r:id="rId55" display="https://my.zakupivli.pro/remote/dispatcher/state_contracting_view/18165910"/>
    <hyperlink ref="B32" r:id="rId56" display="https://my.zakupivli.pro/remote/dispatcher/state_purchase_view/44463490"/>
    <hyperlink ref="C32" r:id="rId57" display="https://my.zakupivli.pro/remote/dispatcher/state_contracting_view/17437079"/>
    <hyperlink ref="B33" r:id="rId58" display="https://my.zakupivli.pro/remote/dispatcher/state_purchase_view/47125160"/>
    <hyperlink ref="C33" r:id="rId59" display="https://my.zakupivli.pro/remote/dispatcher/state_contracting_view/18375108"/>
    <hyperlink ref="B34" r:id="rId60" display="https://my.zakupivli.pro/remote/dispatcher/state_purchase_view/47012685"/>
    <hyperlink ref="C34" r:id="rId61" display="https://my.zakupivli.pro/remote/dispatcher/state_contracting_view/18328298"/>
    <hyperlink ref="B35" r:id="rId62" display="https://my.zakupivli.pro/remote/dispatcher/state_purchase_view/43117502"/>
    <hyperlink ref="C35" r:id="rId63" display="https://my.zakupivli.pro/remote/dispatcher/state_contracting_view/16640189"/>
    <hyperlink ref="B36" r:id="rId64" display="https://my.zakupivli.pro/remote/dispatcher/state_purchase_view/43357889"/>
    <hyperlink ref="C36" r:id="rId65" display="https://my.zakupivli.pro/remote/dispatcher/state_contracting_view/16750125"/>
    <hyperlink ref="B37" r:id="rId66" display="https://my.zakupivli.pro/remote/dispatcher/state_purchase_view/43453034"/>
    <hyperlink ref="C37" r:id="rId67" display="https://my.zakupivli.pro/remote/dispatcher/state_contracting_view/16798452"/>
    <hyperlink ref="B38" r:id="rId68" display="https://my.zakupivli.pro/remote/dispatcher/state_purchase_view/43454279"/>
    <hyperlink ref="C38" r:id="rId69" display="https://my.zakupivli.pro/remote/dispatcher/state_contracting_view/16799073"/>
    <hyperlink ref="B39" r:id="rId70" display="https://my.zakupivli.pro/remote/dispatcher/state_purchase_view/43488079"/>
    <hyperlink ref="C39" r:id="rId71" display="https://my.zakupivli.pro/remote/dispatcher/state_contracting_view/16816912"/>
    <hyperlink ref="B40" r:id="rId72" display="https://my.zakupivli.pro/remote/dispatcher/state_purchase_view/42880792"/>
    <hyperlink ref="C40" r:id="rId73" display="https://my.zakupivli.pro/remote/dispatcher/state_contracting_view/16534635"/>
    <hyperlink ref="B41" r:id="rId74" display="https://my.zakupivli.pro/remote/dispatcher/state_purchase_view/47401766"/>
    <hyperlink ref="C41" r:id="rId75" display="https://my.zakupivli.pro/remote/dispatcher/state_contracting_view/18490026"/>
    <hyperlink ref="B42" r:id="rId76" display="https://my.zakupivli.pro/remote/dispatcher/state_purchase_view/47783233"/>
    <hyperlink ref="C42" r:id="rId77" display="https://my.zakupivli.pro/remote/dispatcher/state_contracting_view/18652049"/>
    <hyperlink ref="B43" r:id="rId78" display="https://my.zakupivli.pro/remote/dispatcher/state_purchase_view/42493791"/>
    <hyperlink ref="C43" r:id="rId79" display="https://my.zakupivli.pro/remote/dispatcher/state_contracting_view/16445197"/>
    <hyperlink ref="B44" r:id="rId80" display="https://my.zakupivli.pro/remote/dispatcher/state_purchase_view/45907221"/>
    <hyperlink ref="C44" r:id="rId81" display="https://my.zakupivli.pro/remote/dispatcher/state_contracting_view/18159876"/>
    <hyperlink ref="B45" r:id="rId82" display="https://my.zakupivli.pro/remote/dispatcher/state_purchase_view/46957563"/>
    <hyperlink ref="C45" r:id="rId83" display="https://my.zakupivli.pro/remote/dispatcher/state_contracting_view/18305120"/>
    <hyperlink ref="B46" r:id="rId84" display="https://my.zakupivli.pro/remote/dispatcher/state_purchase_view/46015886"/>
    <hyperlink ref="C46" r:id="rId85" display="https://my.zakupivli.pro/remote/dispatcher/state_contracting_view/18184579"/>
    <hyperlink ref="B47" r:id="rId86" display="https://my.zakupivli.pro/remote/dispatcher/state_purchase_view/43419844"/>
    <hyperlink ref="C47" r:id="rId87" display="https://my.zakupivli.pro/remote/dispatcher/state_contracting_view/17141096"/>
    <hyperlink ref="B48" r:id="rId88" display="https://my.zakupivli.pro/remote/dispatcher/state_purchase_view/41204061"/>
    <hyperlink ref="C48" r:id="rId89" display="https://my.zakupivli.pro/remote/dispatcher/state_contracting_view/15969673"/>
    <hyperlink ref="B49" r:id="rId90" display="https://my.zakupivli.pro/remote/dispatcher/state_purchase_view/47158665"/>
    <hyperlink ref="C49" r:id="rId91" display="https://my.zakupivli.pro/remote/dispatcher/state_contracting_view/18709335"/>
    <hyperlink ref="B50" r:id="rId92" display="https://my.zakupivli.pro/remote/dispatcher/state_purchase_view/44713200"/>
    <hyperlink ref="C50" r:id="rId93" display="https://my.zakupivli.pro/remote/dispatcher/state_contracting_view/17349255"/>
    <hyperlink ref="B51" r:id="rId94" display="https://my.zakupivli.pro/remote/dispatcher/state_purchase_view/45117388"/>
    <hyperlink ref="C51" r:id="rId95" display="https://my.zakupivli.pro/remote/dispatcher/state_contracting_view/17523064"/>
    <hyperlink ref="B52" r:id="rId96" display="https://my.zakupivli.pro/remote/dispatcher/state_purchase_view/45101006"/>
    <hyperlink ref="C52" r:id="rId97" display="https://my.zakupivli.pro/remote/dispatcher/state_contracting_view/17515801"/>
    <hyperlink ref="B53" r:id="rId98" display="https://my.zakupivli.pro/remote/dispatcher/state_purchase_view/44536991"/>
    <hyperlink ref="C53" r:id="rId99" display="https://my.zakupivli.pro/remote/dispatcher/state_contracting_view/17273941"/>
    <hyperlink ref="B54" r:id="rId100" display="https://my.zakupivli.pro/remote/dispatcher/state_purchase_view/46625549"/>
    <hyperlink ref="C54" r:id="rId101" display="https://my.zakupivli.pro/remote/dispatcher/state_contracting_view/18165219"/>
    <hyperlink ref="B55" r:id="rId102" display="https://my.zakupivli.pro/remote/dispatcher/state_purchase_view/45924601"/>
    <hyperlink ref="C55" r:id="rId103" display="https://my.zakupivli.pro/remote/dispatcher/state_contracting_view/17865020"/>
    <hyperlink ref="B56" r:id="rId104" display="https://my.zakupivli.pro/remote/dispatcher/state_purchase_view/46252837"/>
    <hyperlink ref="C56" r:id="rId105" display="https://my.zakupivli.pro/remote/dispatcher/state_contracting_view/18006143"/>
    <hyperlink ref="B57" r:id="rId106" display="https://my.zakupivli.pro/remote/dispatcher/state_purchase_view/47156688"/>
    <hyperlink ref="C57" r:id="rId107" display="https://my.zakupivli.pro/remote/dispatcher/state_contracting_view/18388038"/>
    <hyperlink ref="B58" r:id="rId108" display="https://my.zakupivli.pro/remote/dispatcher/state_purchase_view/43498469"/>
    <hyperlink ref="C58" r:id="rId109" display="https://my.zakupivli.pro/remote/dispatcher/state_contracting_view/16821762"/>
    <hyperlink ref="B59" r:id="rId110" display="https://my.zakupivli.pro/remote/dispatcher/state_purchase_view/43745756"/>
    <hyperlink ref="C59" r:id="rId111" display="https://my.zakupivli.pro/remote/dispatcher/state_contracting_view/16932459"/>
    <hyperlink ref="B60" r:id="rId112" display="https://my.zakupivli.pro/remote/dispatcher/state_purchase_view/42596632"/>
    <hyperlink ref="C60" r:id="rId113" display="https://my.zakupivli.pro/remote/dispatcher/state_contracting_view/16403099"/>
    <hyperlink ref="B61" r:id="rId114" display="https://my.zakupivli.pro/remote/dispatcher/state_purchase_view/43099531"/>
    <hyperlink ref="C61" r:id="rId115" display="https://my.zakupivli.pro/remote/dispatcher/state_contracting_view/16631902"/>
    <hyperlink ref="B62" r:id="rId116" display="https://my.zakupivli.pro/remote/dispatcher/state_purchase_view/44204424"/>
    <hyperlink ref="C62" r:id="rId117" display="https://my.zakupivli.pro/remote/dispatcher/state_contracting_view/17131630"/>
    <hyperlink ref="B63" r:id="rId118" display="https://my.zakupivli.pro/remote/dispatcher/state_purchase_view/43644431"/>
    <hyperlink ref="C63" r:id="rId119" display="https://my.zakupivli.pro/remote/dispatcher/state_contracting_view/16888633"/>
    <hyperlink ref="B64" r:id="rId120" display="https://my.zakupivli.pro/remote/dispatcher/state_purchase_view/48072692"/>
    <hyperlink ref="C64" r:id="rId121" display="https://my.zakupivli.pro/remote/dispatcher/state_contracting_view/18784258"/>
    <hyperlink ref="B65" r:id="rId122" display="https://my.zakupivli.pro/remote/dispatcher/state_purchase_view/46412490"/>
    <hyperlink ref="C65" r:id="rId123" display="https://my.zakupivli.pro/remote/dispatcher/state_contracting_view/18323324"/>
    <hyperlink ref="B66" r:id="rId124" display="https://my.zakupivli.pro/remote/dispatcher/state_purchase_view/41266623"/>
    <hyperlink ref="C66" r:id="rId125" display="https://my.zakupivli.pro/remote/dispatcher/state_contracting_view/15951312"/>
    <hyperlink ref="B67" r:id="rId126" display="https://my.zakupivli.pro/remote/dispatcher/state_purchase_view/41826499"/>
    <hyperlink ref="C67" r:id="rId127" display="https://my.zakupivli.pro/remote/dispatcher/state_contracting_view/16246212"/>
    <hyperlink ref="B68" r:id="rId128" display="https://my.zakupivli.pro/remote/dispatcher/state_purchase_view/43977274"/>
    <hyperlink ref="C68" r:id="rId129" display="https://my.zakupivli.pro/remote/dispatcher/state_contracting_view/17282738"/>
    <hyperlink ref="B69" r:id="rId130" display="https://my.zakupivli.pro/remote/dispatcher/state_purchase_view/40017105"/>
    <hyperlink ref="C69" r:id="rId131" display="https://my.zakupivli.pro/remote/dispatcher/state_contracting_view/15347468"/>
    <hyperlink ref="B70" r:id="rId132" display="https://my.zakupivli.pro/remote/dispatcher/state_purchase_view/42237592"/>
    <hyperlink ref="C70" r:id="rId133" display="https://my.zakupivli.pro/remote/dispatcher/state_contracting_view/16237445"/>
    <hyperlink ref="B71" r:id="rId134" display="https://my.zakupivli.pro/remote/dispatcher/state_purchase_view/46808405"/>
    <hyperlink ref="C71" r:id="rId135" display="https://my.zakupivli.pro/remote/dispatcher/state_contracting_view/18242873"/>
    <hyperlink ref="B72" r:id="rId136" display="https://my.zakupivli.pro/remote/dispatcher/state_purchase_view/45196456"/>
    <hyperlink ref="C72" r:id="rId137" display="https://my.zakupivli.pro/remote/dispatcher/state_contracting_view/17556104"/>
    <hyperlink ref="B73" r:id="rId138" display="https://my.zakupivli.pro/remote/dispatcher/state_purchase_view/40707262"/>
    <hyperlink ref="C73" r:id="rId139" display="https://my.zakupivli.pro/remote/dispatcher/state_contracting_view/15561120"/>
    <hyperlink ref="B74" r:id="rId140" display="https://my.zakupivli.pro/remote/dispatcher/state_purchase_view/47012803"/>
    <hyperlink ref="C74" r:id="rId141" display="https://my.zakupivli.pro/remote/dispatcher/state_contracting_view/18328183"/>
    <hyperlink ref="B75" r:id="rId142" display="https://my.zakupivli.pro/remote/dispatcher/state_purchase_view/40494844"/>
    <hyperlink ref="C75" r:id="rId143" display="https://my.zakupivli.pro/remote/dispatcher/state_contracting_view/15458813"/>
    <hyperlink ref="B76" r:id="rId144" display="https://my.zakupivli.pro/remote/dispatcher/state_purchase_view/40969310"/>
    <hyperlink ref="C76" r:id="rId145" display="https://my.zakupivli.pro/remote/dispatcher/state_contracting_view/15682047"/>
    <hyperlink ref="B77" r:id="rId146" display="https://my.zakupivli.pro/remote/dispatcher/state_purchase_view/41945376"/>
    <hyperlink ref="C77" r:id="rId147" display="https://my.zakupivli.pro/remote/dispatcher/state_contracting_view/16110084"/>
    <hyperlink ref="B78" r:id="rId148" display="https://my.zakupivli.pro/remote/dispatcher/state_purchase_view/40222037"/>
    <hyperlink ref="C78" r:id="rId149" display="https://my.zakupivli.pro/remote/dispatcher/state_contracting_view/15332776"/>
    <hyperlink ref="B79" r:id="rId150" display="https://my.zakupivli.pro/remote/dispatcher/state_purchase_view/40890834"/>
    <hyperlink ref="C79" r:id="rId151" display="https://my.zakupivli.pro/remote/dispatcher/state_contracting_view/15646050"/>
    <hyperlink ref="B80" r:id="rId152" display="https://my.zakupivli.pro/remote/dispatcher/state_purchase_view/41191733"/>
    <hyperlink ref="C80" r:id="rId153" display="https://my.zakupivli.pro/remote/dispatcher/state_contracting_view/15786799"/>
    <hyperlink ref="B81" r:id="rId154" display="https://my.zakupivli.pro/remote/dispatcher/state_purchase_view/41220347"/>
    <hyperlink ref="C81" r:id="rId155" display="https://my.zakupivli.pro/remote/dispatcher/state_contracting_view/15799356"/>
    <hyperlink ref="B82" r:id="rId156" display="https://my.zakupivli.pro/remote/dispatcher/state_purchase_view/41310912"/>
    <hyperlink ref="C82" r:id="rId157" display="https://my.zakupivli.pro/remote/dispatcher/state_contracting_view/15838846"/>
    <hyperlink ref="B83" r:id="rId158" display="https://my.zakupivli.pro/remote/dispatcher/state_purchase_view/40927826"/>
    <hyperlink ref="C83" r:id="rId159" display="https://my.zakupivli.pro/remote/dispatcher/state_contracting_view/15662828"/>
    <hyperlink ref="B84" r:id="rId160" display="https://my.zakupivli.pro/remote/dispatcher/state_purchase_view/47937077"/>
    <hyperlink ref="C84" r:id="rId161" display="https://my.zakupivli.pro/remote/dispatcher/state_contracting_view/18720948"/>
    <hyperlink ref="B85" r:id="rId162" display="https://my.zakupivli.pro/remote/dispatcher/state_purchase_view/45088345"/>
    <hyperlink ref="C85" r:id="rId163" display="https://my.zakupivli.pro/remote/dispatcher/state_contracting_view/17794763"/>
    <hyperlink ref="B86" r:id="rId164" display="https://my.zakupivli.pro/remote/dispatcher/state_purchase_view/40850387"/>
    <hyperlink ref="C86" r:id="rId165" display="https://my.zakupivli.pro/remote/dispatcher/state_contracting_view/16955946"/>
    <hyperlink ref="B87" r:id="rId166" display="https://my.zakupivli.pro/remote/dispatcher/state_purchase_view/42884866"/>
    <hyperlink ref="C87" r:id="rId167" display="https://my.zakupivli.pro/remote/dispatcher/state_contracting_view/16885167"/>
    <hyperlink ref="B88" r:id="rId168" display="https://my.zakupivli.pro/remote/dispatcher/state_purchase_view/44517287"/>
    <hyperlink ref="C88" r:id="rId169" display="https://my.zakupivli.pro/remote/dispatcher/state_contracting_view/17265797"/>
    <hyperlink ref="B89" r:id="rId170" display="https://my.zakupivli.pro/remote/dispatcher/state_purchase_view/43253300"/>
    <hyperlink ref="C89" r:id="rId171" display="https://my.zakupivli.pro/remote/dispatcher/state_contracting_view/16702263"/>
    <hyperlink ref="B90" r:id="rId172" display="https://my.zakupivli.pro/remote/dispatcher/state_purchase_view/45927243"/>
    <hyperlink ref="C90" r:id="rId173" display="https://my.zakupivli.pro/remote/dispatcher/state_contracting_view/17866345"/>
    <hyperlink ref="B91" r:id="rId174" display="https://my.zakupivli.pro/remote/dispatcher/state_purchase_view/46252056"/>
    <hyperlink ref="C91" r:id="rId175" display="https://my.zakupivli.pro/remote/dispatcher/state_contracting_view/18005656"/>
    <hyperlink ref="B92" r:id="rId176" display="https://my.zakupivli.pro/remote/dispatcher/state_purchase_view/47953598"/>
    <hyperlink ref="C92" r:id="rId177" display="https://my.zakupivli.pro/remote/dispatcher/state_contracting_view/18728377"/>
    <hyperlink ref="B93" r:id="rId178" display="https://my.zakupivli.pro/remote/dispatcher/state_purchase_view/47937632"/>
    <hyperlink ref="C93" r:id="rId179" display="https://my.zakupivli.pro/remote/dispatcher/state_contracting_view/18721137"/>
    <hyperlink ref="B94" r:id="rId180" display="https://my.zakupivli.pro/remote/dispatcher/state_purchase_view/44990748"/>
    <hyperlink ref="C94" r:id="rId181" display="https://my.zakupivli.pro/remote/dispatcher/state_contracting_view/17468942"/>
    <hyperlink ref="B95" r:id="rId182" display="https://my.zakupivli.pro/remote/dispatcher/state_purchase_view/45236755"/>
    <hyperlink ref="C95" r:id="rId183" display="https://my.zakupivli.pro/remote/dispatcher/state_contracting_view/17573483"/>
    <hyperlink ref="B96" r:id="rId184" display="https://my.zakupivli.pro/remote/dispatcher/state_purchase_view/45304500"/>
    <hyperlink ref="C96" r:id="rId185" display="https://my.zakupivli.pro/remote/dispatcher/state_contracting_view/17601667"/>
    <hyperlink ref="B97" r:id="rId186" display="https://my.zakupivli.pro/remote/dispatcher/state_purchase_view/45316539"/>
    <hyperlink ref="C97" r:id="rId187" display="https://my.zakupivli.pro/remote/dispatcher/state_contracting_view/17612604"/>
    <hyperlink ref="B98" r:id="rId188" display="https://my.zakupivli.pro/remote/dispatcher/state_purchase_view/42876117"/>
    <hyperlink ref="C98" r:id="rId189" display="https://my.zakupivli.pro/remote/dispatcher/state_contracting_view/16532650"/>
    <hyperlink ref="B99" r:id="rId190" display="https://my.zakupivli.pro/remote/dispatcher/state_purchase_view/42884899"/>
    <hyperlink ref="C99" r:id="rId191" display="https://my.zakupivli.pro/remote/dispatcher/state_contracting_view/16537894"/>
    <hyperlink ref="B100" r:id="rId192" display="https://my.zakupivli.pro/remote/dispatcher/state_purchase_view/41471108"/>
    <hyperlink ref="C100" r:id="rId193" display="https://my.zakupivli.pro/remote/dispatcher/state_contracting_view/15907599"/>
    <hyperlink ref="B101" r:id="rId194" display="https://my.zakupivli.pro/remote/dispatcher/state_purchase_view/41471419"/>
    <hyperlink ref="C101" r:id="rId195" display="https://my.zakupivli.pro/remote/dispatcher/state_contracting_view/15907805"/>
    <hyperlink ref="B102" r:id="rId196" display="https://my.zakupivli.pro/remote/dispatcher/state_purchase_view/41842175"/>
    <hyperlink ref="C102" r:id="rId197" display="https://my.zakupivli.pro/remote/dispatcher/state_contracting_view/16065680"/>
    <hyperlink ref="B103" r:id="rId198" display="https://my.zakupivli.pro/remote/dispatcher/state_purchase_view/43787011"/>
    <hyperlink ref="C103" r:id="rId199" display="https://my.zakupivli.pro/remote/dispatcher/state_contracting_view/16950651"/>
    <hyperlink ref="B104" r:id="rId200" display="https://my.zakupivli.pro/remote/dispatcher/state_purchase_view/44168925"/>
    <hyperlink ref="C104" r:id="rId201" display="https://my.zakupivli.pro/remote/dispatcher/state_contracting_view/17116045"/>
    <hyperlink ref="B105" r:id="rId202" display="https://my.zakupivli.pro/remote/dispatcher/state_purchase_view/44103421"/>
    <hyperlink ref="C105" r:id="rId203" display="https://my.zakupivli.pro/remote/dispatcher/state_contracting_view/17087258"/>
    <hyperlink ref="B106" r:id="rId204" display="https://my.zakupivli.pro/remote/dispatcher/state_purchase_view/43546900"/>
    <hyperlink ref="C106" r:id="rId205" display="https://my.zakupivli.pro/remote/dispatcher/state_contracting_view/16845485"/>
    <hyperlink ref="B107" r:id="rId206" display="https://my.zakupivli.pro/remote/dispatcher/state_purchase_view/44409623"/>
    <hyperlink ref="C107" r:id="rId207" display="https://my.zakupivli.pro/remote/dispatcher/state_contracting_view/17219746"/>
    <hyperlink ref="B108" r:id="rId208" display="https://my.zakupivli.pro/remote/dispatcher/state_purchase_view/44413054"/>
    <hyperlink ref="C108" r:id="rId209" display="https://my.zakupivli.pro/remote/dispatcher/state_contracting_view/17221061"/>
    <hyperlink ref="B109" r:id="rId210" display="https://my.zakupivli.pro/remote/dispatcher/state_purchase_view/40495197"/>
    <hyperlink ref="C109" r:id="rId211" display="https://my.zakupivli.pro/remote/dispatcher/state_contracting_view/15458886"/>
    <hyperlink ref="B110" r:id="rId212" display="https://my.zakupivli.pro/remote/dispatcher/state_purchase_view/45660127"/>
    <hyperlink ref="C110" r:id="rId213" display="https://my.zakupivli.pro/remote/dispatcher/state_contracting_view/17752850"/>
    <hyperlink ref="B111" r:id="rId214" display="https://my.zakupivli.pro/remote/dispatcher/state_purchase_view/47400522"/>
    <hyperlink ref="C111" r:id="rId215" display="https://my.zakupivli.pro/remote/dispatcher/state_contracting_view/18489136"/>
    <hyperlink ref="B112" r:id="rId216" display="https://my.zakupivli.pro/remote/dispatcher/state_purchase_view/47578424"/>
    <hyperlink ref="C112" r:id="rId217" display="https://my.zakupivli.pro/remote/dispatcher/state_contracting_view/18564150"/>
    <hyperlink ref="B113" r:id="rId218" display="https://my.zakupivli.pro/remote/dispatcher/state_purchase_view/43123562"/>
    <hyperlink ref="C113" r:id="rId219" display="https://my.zakupivli.pro/remote/dispatcher/state_contracting_view/16642544"/>
    <hyperlink ref="B114" r:id="rId220" display="https://my.zakupivli.pro/remote/dispatcher/state_purchase_view/40013208"/>
    <hyperlink ref="C114" r:id="rId221" display="https://my.zakupivli.pro/remote/dispatcher/state_contracting_view/15240367"/>
    <hyperlink ref="B115" r:id="rId222" display="https://my.zakupivli.pro/remote/dispatcher/state_purchase_view/43455924"/>
    <hyperlink ref="C115" r:id="rId223" display="https://my.zakupivli.pro/remote/dispatcher/state_contracting_view/16799935"/>
    <hyperlink ref="B116" r:id="rId224" display="https://my.zakupivli.pro/remote/dispatcher/state_purchase_view/42880178"/>
    <hyperlink ref="C116" r:id="rId225" display="https://my.zakupivli.pro/remote/dispatcher/state_contracting_view/16534305"/>
    <hyperlink ref="B117" r:id="rId226" display="https://my.zakupivli.pro/remote/dispatcher/state_purchase_view/43357107"/>
    <hyperlink ref="C117" r:id="rId227" display="https://my.zakupivli.pro/remote/dispatcher/state_contracting_view/16749868"/>
    <hyperlink ref="B118" r:id="rId228" display="https://my.zakupivli.pro/remote/dispatcher/state_purchase_view/46188557"/>
    <hyperlink ref="C118" r:id="rId229" display="https://my.zakupivli.pro/remote/dispatcher/state_contracting_view/17978249"/>
    <hyperlink ref="B119" r:id="rId230" display="https://my.zakupivli.pro/remote/dispatcher/state_purchase_view/47164225"/>
    <hyperlink ref="C119" r:id="rId231" display="https://my.zakupivli.pro/remote/dispatcher/state_contracting_view/18391515"/>
    <hyperlink ref="B120" r:id="rId232" display="https://my.zakupivli.pro/remote/dispatcher/state_purchase_view/40221390"/>
    <hyperlink ref="C120" r:id="rId233" display="https://my.zakupivli.pro/remote/dispatcher/state_contracting_view/15332082"/>
    <hyperlink ref="B121" r:id="rId234" display="https://my.zakupivli.pro/remote/dispatcher/state_purchase_view/40053577"/>
    <hyperlink ref="C121" r:id="rId235" display="https://my.zakupivli.pro/remote/dispatcher/state_contracting_view/15257655"/>
    <hyperlink ref="B122" r:id="rId236" display="https://my.zakupivli.pro/remote/dispatcher/state_purchase_view/41219909"/>
    <hyperlink ref="C122" r:id="rId237" display="https://my.zakupivli.pro/remote/dispatcher/state_contracting_view/15799475"/>
    <hyperlink ref="B123" r:id="rId238" display="https://my.zakupivli.pro/remote/dispatcher/state_purchase_view/40890698"/>
    <hyperlink ref="C123" r:id="rId239" display="https://my.zakupivli.pro/remote/dispatcher/state_contracting_view/15646101"/>
    <hyperlink ref="B124" r:id="rId240" display="https://my.zakupivli.pro/remote/dispatcher/state_purchase_view/40168514"/>
    <hyperlink ref="C124" r:id="rId241" display="https://my.zakupivli.pro/remote/dispatcher/state_contracting_view/15624155"/>
    <hyperlink ref="B125" r:id="rId242" display="https://my.zakupivli.pro/remote/dispatcher/state_purchase_view/41400745"/>
    <hyperlink ref="C125" r:id="rId243" display="https://my.zakupivli.pro/remote/dispatcher/state_contracting_view/15877776"/>
    <hyperlink ref="B126" r:id="rId244" display="https://my.zakupivli.pro/remote/dispatcher/state_purchase_view/40482446"/>
    <hyperlink ref="C126" r:id="rId245" display="https://my.zakupivli.pro/remote/dispatcher/state_contracting_view/15452646"/>
    <hyperlink ref="B127" r:id="rId246" display="https://my.zakupivli.pro/remote/dispatcher/state_purchase_view/41122211"/>
    <hyperlink ref="C127" r:id="rId247" display="https://my.zakupivli.pro/remote/dispatcher/state_contracting_view/15755481"/>
    <hyperlink ref="B128" r:id="rId248" display="https://my.zakupivli.pro/remote/dispatcher/state_purchase_view/42438925"/>
    <hyperlink ref="C128" r:id="rId249" display="https://my.zakupivli.pro/remote/dispatcher/state_contracting_view/16329751"/>
    <hyperlink ref="B129" r:id="rId250" display="https://my.zakupivli.pro/remote/dispatcher/state_purchase_view/42438160"/>
    <hyperlink ref="C129" r:id="rId251" display="https://my.zakupivli.pro/remote/dispatcher/state_contracting_view/16329240"/>
    <hyperlink ref="B130" r:id="rId252" display="https://my.zakupivli.pro/remote/dispatcher/state_purchase_view/44708762"/>
    <hyperlink ref="C130" r:id="rId253" display="https://my.zakupivli.pro/remote/dispatcher/state_contracting_view/17579947"/>
    <hyperlink ref="B131" r:id="rId254" display="https://my.zakupivli.pro/remote/dispatcher/state_purchase_view/40882033"/>
    <hyperlink ref="C131" r:id="rId255" display="https://my.zakupivli.pro/remote/dispatcher/state_contracting_view/15822821"/>
    <hyperlink ref="B132" r:id="rId256" display="https://my.zakupivli.pro/remote/dispatcher/state_purchase_view/42866109"/>
    <hyperlink ref="C132" r:id="rId257" display="https://my.zakupivli.pro/remote/dispatcher/state_contracting_view/17030059"/>
    <hyperlink ref="B133" r:id="rId258" display="https://my.zakupivli.pro/remote/dispatcher/state_purchase_view/46595531"/>
    <hyperlink ref="C133" r:id="rId259" display="https://my.zakupivli.pro/remote/dispatcher/state_contracting_view/18416379"/>
    <hyperlink ref="B134" r:id="rId260" display="https://my.zakupivli.pro/remote/dispatcher/state_purchase_view/45066925"/>
    <hyperlink ref="C134" r:id="rId261" display="https://my.zakupivli.pro/remote/dispatcher/state_contracting_view/17739844"/>
    <hyperlink ref="B135" r:id="rId262" display="https://my.zakupivli.pro/remote/dispatcher/state_purchase_view/40051654"/>
    <hyperlink ref="C135" r:id="rId263" display="https://my.zakupivli.pro/remote/dispatcher/state_contracting_view/15256755"/>
    <hyperlink ref="B136" r:id="rId264" display="https://my.zakupivli.pro/remote/dispatcher/state_purchase_view/41309261"/>
    <hyperlink ref="C136" r:id="rId265" display="https://my.zakupivli.pro/remote/dispatcher/state_contracting_view/15838143"/>
    <hyperlink ref="B137" r:id="rId266" display="https://my.zakupivli.pro/remote/dispatcher/state_purchase_view/41309546"/>
    <hyperlink ref="C137" r:id="rId267" display="https://my.zakupivli.pro/remote/dispatcher/state_contracting_view/15838265"/>
    <hyperlink ref="B138" r:id="rId268" display="https://my.zakupivli.pro/remote/dispatcher/state_purchase_view/41743196"/>
    <hyperlink ref="C138" r:id="rId269" display="https://my.zakupivli.pro/remote/dispatcher/state_contracting_view/16023033"/>
    <hyperlink ref="B139" r:id="rId270" display="https://my.zakupivli.pro/remote/dispatcher/state_purchase_view/43497481"/>
    <hyperlink ref="C139" r:id="rId271" display="https://my.zakupivli.pro/remote/dispatcher/state_contracting_view/16821332"/>
    <hyperlink ref="B140" r:id="rId272" display="https://my.zakupivli.pro/remote/dispatcher/state_purchase_view/42062484"/>
    <hyperlink ref="C140" r:id="rId273" display="https://my.zakupivli.pro/remote/dispatcher/state_contracting_view/16160786"/>
    <hyperlink ref="B141" r:id="rId274" display="https://my.zakupivli.pro/remote/dispatcher/state_purchase_view/42693071"/>
    <hyperlink ref="C141" r:id="rId275" display="https://my.zakupivli.pro/remote/dispatcher/state_contracting_view/16446362"/>
    <hyperlink ref="B142" r:id="rId276" display="https://my.zakupivli.pro/remote/dispatcher/state_purchase_view/40114385"/>
    <hyperlink ref="C142" r:id="rId277" display="https://my.zakupivli.pro/remote/dispatcher/state_contracting_view/15557402"/>
    <hyperlink ref="B143" r:id="rId278" display="https://my.zakupivli.pro/remote/dispatcher/state_purchase_view/42401303"/>
    <hyperlink ref="C143" r:id="rId279" display="https://my.zakupivli.pro/remote/dispatcher/state_contracting_view/16312144"/>
    <hyperlink ref="B144" r:id="rId280" display="https://my.zakupivli.pro/remote/dispatcher/state_purchase_view/43110164"/>
    <hyperlink ref="C144" r:id="rId281" display="https://my.zakupivli.pro/remote/dispatcher/state_contracting_view/16636775"/>
    <hyperlink ref="B145" r:id="rId282" display="https://my.zakupivli.pro/remote/dispatcher/state_purchase_view/43125148"/>
    <hyperlink ref="C145" r:id="rId283" display="https://my.zakupivli.pro/remote/dispatcher/state_contracting_view/16643261"/>
    <hyperlink ref="B146" r:id="rId284" display="https://my.zakupivli.pro/remote/dispatcher/state_purchase_view/43124739"/>
    <hyperlink ref="C146" r:id="rId285" display="https://my.zakupivli.pro/remote/dispatcher/state_contracting_view/16643359"/>
    <hyperlink ref="B147" r:id="rId286" display="https://my.zakupivli.pro/remote/dispatcher/state_purchase_view/44917027"/>
    <hyperlink ref="C147" r:id="rId287" display="https://my.zakupivli.pro/remote/dispatcher/state_contracting_view/17729776"/>
    <hyperlink ref="B148" r:id="rId288" display="https://my.zakupivli.pro/remote/dispatcher/state_purchase_view/44559050"/>
    <hyperlink ref="C148" r:id="rId289" display="https://my.zakupivli.pro/remote/dispatcher/state_contracting_view/17560332"/>
    <hyperlink ref="B149" r:id="rId290" display="https://my.zakupivli.pro/remote/dispatcher/state_purchase_view/44496071"/>
    <hyperlink ref="C149" r:id="rId291" display="https://my.zakupivli.pro/remote/dispatcher/state_contracting_view/17447556"/>
    <hyperlink ref="B150" r:id="rId292" display="https://my.zakupivli.pro/remote/dispatcher/state_purchase_view/40607435"/>
    <hyperlink ref="C150" r:id="rId293" display="https://my.zakupivli.pro/remote/dispatcher/state_contracting_view/15512032"/>
    <hyperlink ref="B151" r:id="rId294" display="https://my.zakupivli.pro/remote/dispatcher/state_purchase_view/40486265"/>
    <hyperlink ref="C151" r:id="rId295" display="https://my.zakupivli.pro/remote/dispatcher/state_contracting_view/15454267"/>
    <hyperlink ref="B152" r:id="rId296" display="https://my.zakupivli.pro/remote/dispatcher/state_purchase_view/42259980"/>
    <hyperlink ref="C152" r:id="rId297" display="https://my.zakupivli.pro/remote/dispatcher/state_contracting_view/16247634"/>
    <hyperlink ref="B153" r:id="rId298" display="https://my.zakupivli.pro/remote/dispatcher/state_purchase_view/39445801"/>
    <hyperlink ref="C153" r:id="rId299" display="https://my.zakupivli.pro/remote/dispatcher/state_contracting_view/15204873"/>
    <hyperlink ref="B154" r:id="rId300" display="https://my.zakupivli.pro/remote/dispatcher/state_purchase_view/44596570"/>
    <hyperlink ref="C154" r:id="rId301" display="https://my.zakupivli.pro/remote/dispatcher/state_contracting_view/17508267"/>
    <hyperlink ref="B155" r:id="rId302" display="https://my.zakupivli.pro/remote/dispatcher/state_purchase_view/41394216"/>
    <hyperlink ref="C155" r:id="rId303" display="https://my.zakupivli.pro/remote/dispatcher/state_contracting_view/16022616"/>
    <hyperlink ref="B156" r:id="rId304" display="https://my.zakupivli.pro/remote/dispatcher/state_purchase_view/44415500"/>
    <hyperlink ref="C156" r:id="rId305" display="https://my.zakupivli.pro/remote/dispatcher/state_contracting_view/17222088"/>
    <hyperlink ref="B157" r:id="rId306" display="https://my.zakupivli.pro/remote/dispatcher/state_purchase_view/45147324"/>
    <hyperlink ref="C157" r:id="rId307" display="https://my.zakupivli.pro/remote/dispatcher/state_contracting_view/17535558"/>
    <hyperlink ref="B158" r:id="rId308" display="https://my.zakupivli.pro/remote/dispatcher/state_purchase_view/45658928"/>
    <hyperlink ref="C158" r:id="rId309" display="https://my.zakupivli.pro/remote/dispatcher/state_contracting_view/17752060"/>
    <hyperlink ref="B159" r:id="rId310" display="https://my.zakupivli.pro/remote/dispatcher/state_purchase_view/44971385"/>
    <hyperlink ref="C159" r:id="rId311" display="https://my.zakupivli.pro/remote/dispatcher/state_contracting_view/17460689"/>
    <hyperlink ref="B160" r:id="rId312" display="https://my.zakupivli.pro/remote/dispatcher/state_purchase_view/45014170"/>
    <hyperlink ref="C160" r:id="rId313" display="https://my.zakupivli.pro/remote/dispatcher/state_contracting_view/17478960"/>
    <hyperlink ref="B161" r:id="rId314" display="https://my.zakupivli.pro/remote/dispatcher/state_purchase_view/45266864"/>
    <hyperlink ref="C161" r:id="rId315" display="https://my.zakupivli.pro/remote/dispatcher/state_contracting_view/17585754"/>
    <hyperlink ref="B162" r:id="rId316" display="https://my.zakupivli.pro/remote/dispatcher/state_purchase_view/46609459"/>
    <hyperlink ref="C162" r:id="rId317" display="https://my.zakupivli.pro/remote/dispatcher/state_contracting_view/18158826"/>
    <hyperlink ref="B163" r:id="rId318" display="https://my.zakupivli.pro/remote/dispatcher/state_purchase_view/47936779"/>
    <hyperlink ref="C163" r:id="rId319" display="https://my.zakupivli.pro/remote/dispatcher/state_contracting_view/18720566"/>
    <hyperlink ref="B164" r:id="rId320" display="https://my.zakupivli.pro/remote/dispatcher/state_purchase_view/47307327"/>
    <hyperlink ref="C164" r:id="rId321" display="https://my.zakupivli.pro/remote/dispatcher/state_contracting_view/18450126"/>
    <hyperlink ref="B165" r:id="rId322" display="https://my.zakupivli.pro/remote/dispatcher/state_purchase_view/48047834"/>
    <hyperlink ref="C165" r:id="rId323" display="https://my.zakupivli.pro/remote/dispatcher/state_contracting_view/18772389"/>
    <hyperlink ref="B166" r:id="rId324" display="https://my.zakupivli.pro/remote/dispatcher/state_purchase_view/48047130"/>
    <hyperlink ref="C166" r:id="rId325" display="https://my.zakupivli.pro/remote/dispatcher/state_contracting_view/18772256"/>
    <hyperlink ref="B167" r:id="rId326" display="https://my.zakupivli.pro/remote/dispatcher/state_purchase_view/43640198"/>
    <hyperlink ref="C167" r:id="rId327" display="https://my.zakupivli.pro/remote/dispatcher/state_contracting_view/16886627"/>
    <hyperlink ref="B168" r:id="rId328" display="https://my.zakupivli.pro/remote/dispatcher/state_purchase_view/45307696"/>
    <hyperlink ref="C168" r:id="rId329" display="https://my.zakupivli.pro/remote/dispatcher/state_contracting_view/17602813"/>
    <hyperlink ref="B169" r:id="rId330" display="https://my.zakupivli.pro/remote/dispatcher/state_purchase_view/44986883"/>
    <hyperlink ref="C169" r:id="rId331" display="https://my.zakupivli.pro/remote/dispatcher/state_contracting_view/17467392"/>
    <hyperlink ref="B170" r:id="rId332" display="https://my.zakupivli.pro/remote/dispatcher/state_purchase_view/43576052"/>
    <hyperlink ref="C170" r:id="rId333" display="https://my.zakupivli.pro/remote/dispatcher/state_contracting_view/17086689"/>
    <hyperlink ref="B171" r:id="rId334" display="https://my.zakupivli.pro/remote/dispatcher/state_purchase_view/45359538"/>
    <hyperlink ref="C171" r:id="rId335" display="https://my.zakupivli.pro/remote/dispatcher/state_contracting_view/17624513"/>
    <hyperlink ref="B172" r:id="rId336" display="https://my.zakupivli.pro/remote/dispatcher/state_purchase_view/45361155"/>
    <hyperlink ref="C172" r:id="rId337" display="https://my.zakupivli.pro/remote/dispatcher/state_contracting_view/17625423"/>
    <hyperlink ref="B173" r:id="rId338" display="https://my.zakupivli.pro/remote/dispatcher/state_purchase_view/43454621"/>
    <hyperlink ref="C173" r:id="rId339" display="https://my.zakupivli.pro/remote/dispatcher/state_contracting_view/16799288"/>
    <hyperlink ref="B174" r:id="rId340" display="https://my.zakupivli.pro/remote/dispatcher/state_purchase_view/40375959"/>
    <hyperlink ref="C174" r:id="rId341" display="https://my.zakupivli.pro/remote/dispatcher/state_contracting_view/15402254"/>
    <hyperlink ref="B175" r:id="rId342" display="https://my.zakupivli.pro/remote/dispatcher/state_purchase_view/41309779"/>
    <hyperlink ref="C175" r:id="rId343" display="https://my.zakupivli.pro/remote/dispatcher/state_contracting_view/15838444"/>
    <hyperlink ref="B176" r:id="rId344" display="https://my.zakupivli.pro/remote/dispatcher/state_purchase_view/43644137"/>
    <hyperlink ref="C176" r:id="rId345" display="https://my.zakupivli.pro/remote/dispatcher/state_contracting_view/16888657"/>
    <hyperlink ref="B177" r:id="rId346" display="https://my.zakupivli.pro/remote/dispatcher/state_purchase_view/42349065"/>
    <hyperlink ref="C177" r:id="rId347" display="https://my.zakupivli.pro/remote/dispatcher/state_contracting_view/16288638"/>
    <hyperlink ref="B178" r:id="rId348" display="https://my.zakupivli.pro/remote/dispatcher/state_purchase_view/42955124"/>
    <hyperlink ref="C178" r:id="rId349" display="https://my.zakupivli.pro/remote/dispatcher/state_contracting_view/16569781"/>
    <hyperlink ref="B179" r:id="rId350" display="https://my.zakupivli.pro/remote/dispatcher/state_purchase_view/43118495"/>
    <hyperlink ref="C179" r:id="rId351" display="https://my.zakupivli.pro/remote/dispatcher/state_contracting_view/16640348"/>
    <hyperlink ref="B180" r:id="rId352" display="https://my.zakupivli.pro/remote/dispatcher/state_purchase_view/44714642"/>
    <hyperlink ref="C180" r:id="rId353" display="https://my.zakupivli.pro/remote/dispatcher/state_contracting_view/17349825"/>
    <hyperlink ref="B181" r:id="rId354" display="https://my.zakupivli.pro/remote/dispatcher/state_purchase_view/44711888"/>
    <hyperlink ref="C181" r:id="rId355" display="https://my.zakupivli.pro/remote/dispatcher/state_contracting_view/17348968"/>
    <hyperlink ref="B182" r:id="rId356" display="https://my.zakupivli.pro/remote/dispatcher/state_purchase_view/43800382"/>
    <hyperlink ref="C182" r:id="rId357" display="https://my.zakupivli.pro/remote/dispatcher/state_contracting_view/16956129"/>
    <hyperlink ref="B183" r:id="rId358" display="https://my.zakupivli.pro/remote/dispatcher/state_purchase_view/43827860"/>
    <hyperlink ref="C183" r:id="rId359" display="https://my.zakupivli.pro/remote/dispatcher/state_contracting_view/16968206"/>
    <hyperlink ref="B184" r:id="rId360" display="https://my.zakupivli.pro/remote/dispatcher/state_purchase_view/43492841"/>
    <hyperlink ref="C184" r:id="rId361" display="https://my.zakupivli.pro/remote/dispatcher/state_contracting_view/16991987"/>
    <hyperlink ref="B185" r:id="rId362" display="https://my.zakupivli.pro/remote/dispatcher/state_purchase_view/44560230"/>
    <hyperlink ref="C185" r:id="rId363" display="https://my.zakupivli.pro/remote/dispatcher/state_contracting_view/17283868"/>
    <hyperlink ref="B186" r:id="rId364" display="https://my.zakupivli.pro/remote/dispatcher/state_purchase_view/42848092"/>
    <hyperlink ref="C186" r:id="rId365" display="https://my.zakupivli.pro/remote/dispatcher/state_contracting_view/16799879"/>
    <hyperlink ref="B187" r:id="rId366" display="https://my.zakupivli.pro/remote/dispatcher/state_purchase_view/44533921"/>
    <hyperlink ref="C187" r:id="rId367" display="https://my.zakupivli.pro/remote/dispatcher/state_contracting_view/17272596"/>
    <hyperlink ref="B188" r:id="rId368" display="https://my.zakupivli.pro/remote/dispatcher/state_purchase_view/42440318"/>
    <hyperlink ref="C188" r:id="rId369" display="https://my.zakupivli.pro/remote/dispatcher/state_contracting_view/16577748"/>
    <hyperlink ref="B189" r:id="rId370" display="https://my.zakupivli.pro/remote/dispatcher/state_purchase_view/43962737"/>
    <hyperlink ref="C189" r:id="rId371" display="https://my.zakupivli.pro/remote/dispatcher/state_contracting_view/17225839"/>
    <hyperlink ref="B190" r:id="rId372" display="https://my.zakupivli.pro/remote/dispatcher/state_purchase_view/46737389"/>
    <hyperlink ref="C190" r:id="rId373" display="https://my.zakupivli.pro/remote/dispatcher/state_contracting_view/18292207"/>
    <hyperlink ref="B191" r:id="rId374" display="https://my.zakupivli.pro/remote/dispatcher/state_purchase_view/40221689"/>
    <hyperlink ref="C191" r:id="rId375" display="https://my.zakupivli.pro/remote/dispatcher/state_contracting_view/15332364"/>
    <hyperlink ref="B192" r:id="rId376" display="https://my.zakupivli.pro/remote/dispatcher/state_purchase_view/40376456"/>
    <hyperlink ref="C192" r:id="rId377" display="https://my.zakupivli.pro/remote/dispatcher/state_contracting_view/15402822"/>
    <hyperlink ref="B193" r:id="rId378" display="https://my.zakupivli.pro/remote/dispatcher/state_purchase_view/39929180"/>
    <hyperlink ref="C193" r:id="rId379" display="https://my.zakupivli.pro/remote/dispatcher/state_contracting_view/15204200"/>
    <hyperlink ref="B194" r:id="rId380" display="https://my.zakupivli.pro/remote/dispatcher/state_purchase_view/40013658"/>
    <hyperlink ref="C194" r:id="rId381" display="https://my.zakupivli.pro/remote/dispatcher/state_contracting_view/15240706"/>
    <hyperlink ref="B195" r:id="rId382" display="https://my.zakupivli.pro/remote/dispatcher/state_purchase_view/47125961"/>
    <hyperlink ref="C195" r:id="rId383" display="https://my.zakupivli.pro/remote/dispatcher/state_contracting_view/18375229"/>
    <hyperlink ref="B196" r:id="rId384" display="https://my.zakupivli.pro/remote/dispatcher/state_purchase_view/46952620"/>
    <hyperlink ref="C196" r:id="rId385" display="https://my.zakupivli.pro/remote/dispatcher/state_contracting_view/18303120"/>
    <hyperlink ref="B197" r:id="rId386" display="https://my.zakupivli.pro/remote/dispatcher/state_purchase_view/42880512"/>
    <hyperlink ref="C197" r:id="rId387" display="https://my.zakupivli.pro/remote/dispatcher/state_contracting_view/16534467"/>
    <hyperlink ref="B198" r:id="rId388" display="https://my.zakupivli.pro/remote/dispatcher/state_purchase_view/41034385"/>
    <hyperlink ref="C198" r:id="rId389" display="https://my.zakupivli.pro/remote/dispatcher/state_contracting_view/15713055"/>
    <hyperlink ref="B199" r:id="rId390" display="https://my.zakupivli.pro/remote/dispatcher/state_purchase_view/46289392"/>
    <hyperlink ref="C199" r:id="rId391" display="https://my.zakupivli.pro/remote/dispatcher/state_contracting_view/18022172"/>
    <hyperlink ref="B200" r:id="rId392" display="https://my.zakupivli.pro/remote/dispatcher/state_purchase_view/45833375"/>
    <hyperlink ref="C200" r:id="rId393" display="https://my.zakupivli.pro/remote/dispatcher/state_contracting_view/17826097"/>
    <hyperlink ref="B201" r:id="rId394" display="https://my.zakupivli.pro/remote/dispatcher/state_purchase_view/45905069"/>
    <hyperlink ref="C201" r:id="rId395" display="https://my.zakupivli.pro/remote/dispatcher/state_contracting_view/18156766"/>
    <hyperlink ref="B202" r:id="rId396" display="https://my.zakupivli.pro/remote/dispatcher/state_purchase_view/40245424"/>
    <hyperlink ref="C202" r:id="rId397" display="https://my.zakupivli.pro/remote/dispatcher/state_contracting_view/15589900"/>
    <hyperlink ref="B203" r:id="rId398" display="https://my.zakupivli.pro/remote/dispatcher/state_purchase_view/40785081"/>
    <hyperlink ref="C203" r:id="rId399" display="https://my.zakupivli.pro/remote/dispatcher/state_contracting_view/16021877"/>
    <hyperlink ref="B204" r:id="rId400" display="https://my.zakupivli.pro/remote/dispatcher/state_purchase_view/41756766"/>
    <hyperlink ref="C204" r:id="rId401" display="https://my.zakupivli.pro/remote/dispatcher/state_contracting_view/16219220"/>
    <hyperlink ref="B205" r:id="rId402" display="https://my.zakupivli.pro/remote/dispatcher/state_purchase_view/42233495"/>
    <hyperlink ref="C205" r:id="rId403" display="https://my.zakupivli.pro/remote/dispatcher/state_contracting_view/16446123"/>
    <hyperlink ref="B206" r:id="rId404" display="https://my.zakupivli.pro/remote/dispatcher/state_purchase_view/41194201"/>
    <hyperlink ref="C206" r:id="rId405" display="https://my.zakupivli.pro/remote/dispatcher/state_contracting_view/16022543"/>
    <hyperlink ref="B207" r:id="rId406" display="https://my.zakupivli.pro/remote/dispatcher/state_purchase_view/44664897"/>
    <hyperlink ref="C207" r:id="rId407" display="https://my.zakupivli.pro/remote/dispatcher/state_contracting_view/17558249"/>
    <hyperlink ref="B208" r:id="rId408" display="https://my.zakupivli.pro/remote/dispatcher/state_purchase_view/41191380"/>
    <hyperlink ref="C208" r:id="rId409" display="https://my.zakupivli.pro/remote/dispatcher/state_contracting_view/15786891"/>
    <hyperlink ref="B209" r:id="rId410" display="https://my.zakupivli.pro/remote/dispatcher/state_purchase_view/42828630"/>
    <hyperlink ref="C209" r:id="rId411" display="https://my.zakupivli.pro/remote/dispatcher/state_contracting_view/16510576"/>
    <hyperlink ref="B210" r:id="rId412" display="https://my.zakupivli.pro/remote/dispatcher/state_purchase_view/44205794"/>
    <hyperlink ref="C210" r:id="rId413" display="https://my.zakupivli.pro/remote/dispatcher/state_contracting_view/17132420"/>
    <hyperlink ref="B211" r:id="rId414" display="https://my.zakupivli.pro/remote/dispatcher/state_purchase_view/39982288"/>
    <hyperlink ref="C211" r:id="rId415" display="https://my.zakupivli.pro/remote/dispatcher/state_contracting_view/15227388"/>
    <hyperlink ref="B212" r:id="rId416" display="https://my.zakupivli.pro/remote/dispatcher/state_purchase_view/43846514"/>
    <hyperlink ref="C212" r:id="rId417" display="https://my.zakupivli.pro/remote/dispatcher/state_contracting_view/16976589"/>
    <hyperlink ref="B213" r:id="rId418" display="https://my.zakupivli.pro/remote/dispatcher/state_purchase_view/43992518"/>
    <hyperlink ref="C213" r:id="rId419" display="https://my.zakupivli.pro/remote/dispatcher/state_contracting_view/17039283"/>
    <hyperlink ref="B214" r:id="rId420" display="https://my.zakupivli.pro/remote/dispatcher/state_purchase_view/43992928"/>
    <hyperlink ref="C214" r:id="rId421" display="https://my.zakupivli.pro/remote/dispatcher/state_contracting_view/17039488"/>
    <hyperlink ref="B215" r:id="rId422" display="https://my.zakupivli.pro/remote/dispatcher/state_purchase_view/44294102"/>
    <hyperlink ref="C215" r:id="rId423" display="https://my.zakupivli.pro/remote/dispatcher/state_contracting_view/17441507"/>
    <hyperlink ref="B216" r:id="rId424" display="https://my.zakupivli.pro/remote/dispatcher/state_purchase_view/44992328"/>
    <hyperlink ref="C216" r:id="rId425" display="https://my.zakupivli.pro/remote/dispatcher/state_contracting_view/17716942"/>
    <hyperlink ref="B217" r:id="rId426" display="https://my.zakupivli.pro/remote/dispatcher/state_purchase_view/47935826"/>
    <hyperlink ref="C217" r:id="rId427" display="https://my.zakupivli.pro/remote/dispatcher/state_contracting_view/18720161"/>
    <hyperlink ref="B218" r:id="rId428" display="https://my.zakupivli.pro/remote/dispatcher/state_purchase_view/45531845"/>
    <hyperlink ref="C218" r:id="rId429" display="https://my.zakupivli.pro/remote/dispatcher/state_contracting_view/17698446"/>
    <hyperlink ref="B219" r:id="rId430" display="https://my.zakupivli.pro/remote/dispatcher/state_purchase_view/45455411"/>
    <hyperlink ref="C219" r:id="rId431" display="https://my.zakupivli.pro/remote/dispatcher/state_contracting_view/17665604"/>
    <hyperlink ref="B220" r:id="rId432" display="https://my.zakupivli.pro/remote/dispatcher/state_purchase_view/46258728"/>
    <hyperlink ref="C220" r:id="rId433" display="https://my.zakupivli.pro/remote/dispatcher/state_contracting_view/18008876"/>
    <hyperlink ref="B221" r:id="rId434" display="https://my.zakupivli.pro/remote/dispatcher/state_purchase_view/46368200"/>
    <hyperlink ref="C221" r:id="rId435" display="https://my.zakupivli.pro/remote/dispatcher/state_contracting_view/18055595"/>
    <hyperlink ref="B222" r:id="rId436" display="https://my.zakupivli.pro/remote/dispatcher/state_purchase_view/46367304"/>
    <hyperlink ref="C222" r:id="rId437" display="https://my.zakupivli.pro/remote/dispatcher/state_contracting_view/18055164"/>
    <hyperlink ref="B223" r:id="rId438" display="https://my.zakupivli.pro/remote/dispatcher/state_purchase_view/44989949"/>
    <hyperlink ref="C223" r:id="rId439" display="https://my.zakupivli.pro/remote/dispatcher/state_contracting_view/17468701"/>
    <hyperlink ref="B224" r:id="rId440" display="https://my.zakupivli.pro/remote/dispatcher/state_purchase_view/43638613"/>
    <hyperlink ref="C224" r:id="rId441" display="https://my.zakupivli.pro/remote/dispatcher/state_contracting_view/16885878"/>
    <hyperlink ref="B225" r:id="rId442" display="https://my.zakupivli.pro/remote/dispatcher/state_purchase_view/42691496"/>
    <hyperlink ref="C225" r:id="rId443" display="https://my.zakupivli.pro/remote/dispatcher/state_contracting_view/16446078"/>
    <hyperlink ref="B226" r:id="rId444" display="https://my.zakupivli.pro/remote/dispatcher/state_purchase_view/43124155"/>
    <hyperlink ref="C226" r:id="rId445" display="https://my.zakupivli.pro/remote/dispatcher/state_contracting_view/16643080"/>
    <hyperlink ref="B227" r:id="rId446" display="https://my.zakupivli.pro/remote/dispatcher/state_purchase_view/43111214"/>
    <hyperlink ref="C227" r:id="rId447" display="https://my.zakupivli.pro/remote/dispatcher/state_contracting_view/16637291"/>
    <hyperlink ref="B228" r:id="rId448" display="https://my.zakupivli.pro/remote/dispatcher/state_purchase_view/45702639"/>
    <hyperlink ref="C228" r:id="rId449" display="https://my.zakupivli.pro/remote/dispatcher/state_contracting_view/17770810"/>
    <hyperlink ref="B229" r:id="rId450" display="https://my.zakupivli.pro/remote/dispatcher/state_purchase_view/40041282"/>
    <hyperlink ref="C229" r:id="rId451" display="https://my.zakupivli.pro/remote/dispatcher/state_contracting_view/15252393"/>
    <hyperlink ref="B230" r:id="rId452" display="https://my.zakupivli.pro/remote/dispatcher/state_purchase_view/41771055"/>
    <hyperlink ref="C230" r:id="rId453" display="https://my.zakupivli.pro/remote/dispatcher/state_contracting_view/16034808"/>
    <hyperlink ref="B231" r:id="rId454" display="https://my.zakupivli.pro/remote/dispatcher/state_purchase_view/42259690"/>
    <hyperlink ref="C231" r:id="rId455" display="https://my.zakupivli.pro/remote/dispatcher/state_contracting_view/16247497"/>
    <hyperlink ref="B232" r:id="rId456" display="https://my.zakupivli.pro/remote/dispatcher/state_purchase_view/42437654"/>
    <hyperlink ref="C232" r:id="rId457" display="https://my.zakupivli.pro/remote/dispatcher/state_contracting_view/16329053"/>
    <hyperlink ref="B233" r:id="rId458" display="https://my.zakupivli.pro/remote/dispatcher/state_purchase_view/40488784"/>
    <hyperlink ref="C233" r:id="rId459" display="https://my.zakupivli.pro/remote/dispatcher/state_contracting_view/15455429"/>
    <hyperlink ref="B234" r:id="rId460" display="https://my.zakupivli.pro/remote/dispatcher/state_purchase_view/40598429"/>
    <hyperlink ref="C234" r:id="rId461" display="https://my.zakupivli.pro/remote/dispatcher/state_contracting_view/15507497"/>
    <hyperlink ref="B235" r:id="rId462" display="https://my.zakupivli.pro/remote/dispatcher/state_purchase_view/40494523"/>
    <hyperlink ref="C235" r:id="rId463" display="https://my.zakupivli.pro/remote/dispatcher/state_contracting_view/15458962"/>
    <hyperlink ref="B236" r:id="rId464" display="https://my.zakupivli.pro/remote/dispatcher/state_purchase_view/39945143"/>
    <hyperlink ref="C236" r:id="rId465" display="https://my.zakupivli.pro/remote/dispatcher/state_contracting_view/15210956"/>
    <hyperlink ref="B237" r:id="rId466" display="https://my.zakupivli.pro/remote/dispatcher/state_purchase_view/40760860"/>
    <hyperlink ref="C237" r:id="rId467" display="https://my.zakupivli.pro/remote/dispatcher/state_contracting_view/15583621"/>
    <hyperlink ref="B238" r:id="rId468" display="https://my.zakupivli.pro/remote/dispatcher/state_purchase_view/41896540"/>
    <hyperlink ref="C238" r:id="rId469" display="https://my.zakupivli.pro/remote/dispatcher/state_contracting_view/16088904"/>
    <hyperlink ref="B239" r:id="rId470" display="https://my.zakupivli.pro/remote/dispatcher/state_purchase_view/41401656"/>
    <hyperlink ref="C239" r:id="rId471" display="https://my.zakupivli.pro/remote/dispatcher/state_contracting_view/15878064"/>
    <hyperlink ref="B240" r:id="rId472" display="https://my.zakupivli.pro/remote/dispatcher/state_purchase_view/41401016"/>
    <hyperlink ref="C240" r:id="rId473" display="https://my.zakupivli.pro/remote/dispatcher/state_contracting_view/15877970"/>
    <hyperlink ref="B241" r:id="rId474" display="https://my.zakupivli.pro/remote/dispatcher/state_purchase_view/41945174"/>
    <hyperlink ref="C241" r:id="rId475" display="https://my.zakupivli.pro/remote/dispatcher/state_contracting_view/16109914"/>
    <hyperlink ref="B242" r:id="rId476" display="https://my.zakupivli.pro/remote/dispatcher/state_purchase_view/42914052"/>
    <hyperlink ref="C242" r:id="rId477" display="https://my.zakupivli.pro/remote/dispatcher/state_contracting_view/16885243"/>
    <hyperlink ref="B243" r:id="rId478" display="https://my.zakupivli.pro/remote/dispatcher/state_purchase_view/39979539"/>
    <hyperlink ref="C243" r:id="rId479" display="https://my.zakupivli.pro/remote/dispatcher/state_contracting_view/15452196"/>
    <hyperlink ref="B244" r:id="rId480" display="https://my.zakupivli.pro/remote/dispatcher/state_purchase_view/40915904"/>
    <hyperlink ref="C244" r:id="rId481" display="https://my.zakupivli.pro/remote/dispatcher/state_contracting_view/15869047"/>
    <hyperlink ref="B245" r:id="rId482" display="https://my.zakupivli.pro/remote/dispatcher/state_purchase_view/40997948"/>
    <hyperlink ref="C245" r:id="rId483" display="https://my.zakupivli.pro/remote/dispatcher/state_contracting_view/15695888"/>
    <hyperlink ref="B246" r:id="rId484" display="https://my.zakupivli.pro/remote/dispatcher/state_purchase_view/40004294"/>
    <hyperlink ref="C246" r:id="rId485" display="https://my.zakupivli.pro/remote/dispatcher/state_contracting_view/15557264"/>
    <hyperlink ref="B247" r:id="rId486" display="https://my.zakupivli.pro/remote/dispatcher/state_purchase_view/40149498"/>
    <hyperlink ref="C247" r:id="rId487" display="https://my.zakupivli.pro/remote/dispatcher/state_contracting_view/15550508"/>
    <hyperlink ref="B248" r:id="rId488" display="https://my.zakupivli.pro/remote/dispatcher/state_purchase_view/40053340"/>
    <hyperlink ref="C248" r:id="rId489" display="https://my.zakupivli.pro/remote/dispatcher/state_contracting_view/15257548"/>
    <hyperlink ref="B249" r:id="rId490" display="https://my.zakupivli.pro/remote/dispatcher/state_purchase_view/40050632"/>
    <hyperlink ref="C249" r:id="rId491" display="https://my.zakupivli.pro/remote/dispatcher/state_contracting_view/15256261"/>
    <hyperlink ref="B250" r:id="rId492" display="https://my.zakupivli.pro/remote/dispatcher/state_purchase_view/41606145"/>
    <hyperlink ref="C250" r:id="rId493" display="https://my.zakupivli.pro/remote/dispatcher/state_contracting_view/15964511"/>
    <hyperlink ref="B251" r:id="rId494" display="https://my.zakupivli.pro/remote/dispatcher/state_purchase_view/41575446"/>
    <hyperlink ref="C251" r:id="rId495" display="https://my.zakupivli.pro/remote/dispatcher/state_contracting_view/15951719"/>
    <hyperlink ref="B252" r:id="rId496" display="https://my.zakupivli.pro/remote/dispatcher/state_purchase_view/41310426"/>
    <hyperlink ref="C252" r:id="rId497" display="https://my.zakupivli.pro/remote/dispatcher/state_contracting_view/15838628"/>
    <hyperlink ref="B253" r:id="rId498" display="https://my.zakupivli.pro/remote/dispatcher/state_purchase_view/45630974"/>
    <hyperlink ref="C253" r:id="rId499" display="https://my.zakupivli.pro/remote/dispatcher/state_contracting_view/17739943"/>
    <hyperlink ref="B254" r:id="rId500" display="https://my.zakupivli.pro/remote/dispatcher/state_purchase_view/47533022"/>
    <hyperlink ref="C254" r:id="rId501" display="https://my.zakupivli.pro/remote/dispatcher/state_contracting_view/18545300"/>
    <hyperlink ref="B255" r:id="rId502" display="https://my.zakupivli.pro/remote/dispatcher/state_purchase_view/47012592"/>
    <hyperlink ref="C255" r:id="rId503" display="https://my.zakupivli.pro/remote/dispatcher/state_contracting_view/18328217"/>
    <hyperlink ref="B256" r:id="rId504" display="https://my.zakupivli.pro/remote/dispatcher/state_purchase_view/42692214"/>
    <hyperlink ref="C256" r:id="rId505" display="https://my.zakupivli.pro/remote/dispatcher/state_contracting_view/16445895"/>
    <hyperlink ref="B257" r:id="rId506" display="https://my.zakupivli.pro/remote/dispatcher/state_purchase_view/43498184"/>
    <hyperlink ref="C257" r:id="rId507" display="https://my.zakupivli.pro/remote/dispatcher/state_contracting_view/16821947"/>
    <hyperlink ref="B258" r:id="rId508" display="https://my.zakupivli.pro/remote/dispatcher/state_purchase_view/45137349"/>
    <hyperlink ref="C258" r:id="rId509" display="https://my.zakupivli.pro/remote/dispatcher/state_contracting_view/17531219"/>
    <hyperlink ref="B259" r:id="rId510" display="https://my.zakupivli.pro/remote/dispatcher/state_purchase_view/44949626"/>
    <hyperlink ref="C259" r:id="rId511" display="https://my.zakupivli.pro/remote/dispatcher/state_contracting_view/17451188"/>
    <hyperlink ref="B260" r:id="rId512" display="https://my.zakupivli.pro/remote/dispatcher/state_purchase_view/45196978"/>
    <hyperlink ref="C260" r:id="rId513" display="https://my.zakupivli.pro/remote/dispatcher/state_contracting_view/17560098"/>
    <hyperlink ref="B261" r:id="rId514" display="https://my.zakupivli.pro/remote/dispatcher/state_purchase_view/46226940"/>
    <hyperlink ref="C261" r:id="rId515" display="https://my.zakupivli.pro/remote/dispatcher/state_contracting_view/17994609"/>
    <hyperlink ref="B262" r:id="rId516" display="https://my.zakupivli.pro/remote/dispatcher/state_purchase_view/43119523"/>
    <hyperlink ref="C262" r:id="rId517" display="https://my.zakupivli.pro/remote/dispatcher/state_contracting_view/16640906"/>
    <hyperlink ref="B263" r:id="rId518" display="https://my.zakupivli.pro/remote/dispatcher/state_purchase_view/42021150"/>
    <hyperlink ref="C263" r:id="rId519" display="https://my.zakupivli.pro/remote/dispatcher/state_contracting_view/16142879"/>
    <hyperlink ref="B264" r:id="rId520" display="https://my.zakupivli.pro/remote/dispatcher/state_purchase_view/42071084"/>
    <hyperlink ref="C264" r:id="rId521" display="https://my.zakupivli.pro/remote/dispatcher/state_contracting_view/16164351"/>
    <hyperlink ref="B265" r:id="rId522" display="https://my.zakupivli.pro/remote/dispatcher/state_purchase_view/42693937"/>
    <hyperlink ref="C265" r:id="rId523" display="https://my.zakupivli.pro/remote/dispatcher/state_contracting_view/16446843"/>
    <hyperlink ref="B266" r:id="rId524" display="https://my.zakupivli.pro/remote/dispatcher/state_purchase_view/43800954"/>
    <hyperlink ref="C266" r:id="rId525" display="https://my.zakupivli.pro/remote/dispatcher/state_contracting_view/16956475"/>
    <hyperlink ref="B267" r:id="rId526" display="https://my.zakupivli.pro/remote/dispatcher/state_purchase_view/42438468"/>
    <hyperlink ref="C267" r:id="rId527" display="https://my.zakupivli.pro/remote/dispatcher/state_contracting_view/16329349"/>
    <hyperlink ref="B268" r:id="rId528" display="https://my.zakupivli.pro/remote/dispatcher/state_purchase_view/39940648"/>
    <hyperlink ref="C268" r:id="rId529" display="https://my.zakupivli.pro/remote/dispatcher/state_contracting_view/15377516"/>
    <hyperlink ref="B269" r:id="rId530" display="https://my.zakupivli.pro/remote/dispatcher/state_purchase_view/42829789"/>
    <hyperlink ref="C269" r:id="rId531" display="https://my.zakupivli.pro/remote/dispatcher/state_contracting_view/16815978"/>
    <hyperlink ref="B270" r:id="rId532" display="https://my.zakupivli.pro/remote/dispatcher/state_purchase_view/46287308"/>
    <hyperlink ref="C270" r:id="rId533" display="https://my.zakupivli.pro/remote/dispatcher/state_contracting_view/18021184"/>
    <hyperlink ref="B271" r:id="rId534" display="https://my.zakupivli.pro/remote/dispatcher/state_purchase_view/46629738"/>
    <hyperlink ref="C271" r:id="rId535" display="https://my.zakupivli.pro/remote/dispatcher/state_contracting_view/18166976"/>
    <hyperlink ref="B272" r:id="rId536" display="https://my.zakupivli.pro/remote/dispatcher/state_purchase_view/46286390"/>
    <hyperlink ref="C272" r:id="rId537" display="https://my.zakupivli.pro/remote/dispatcher/state_contracting_view/18020726"/>
    <hyperlink ref="B273" r:id="rId538" display="https://my.zakupivli.pro/remote/dispatcher/state_purchase_view/40992732"/>
    <hyperlink ref="C273" r:id="rId539" display="https://my.zakupivli.pro/remote/dispatcher/state_contracting_view/15788390"/>
    <hyperlink ref="B274" r:id="rId540" display="https://my.zakupivli.pro/remote/dispatcher/state_purchase_view/42456546"/>
    <hyperlink ref="C274" r:id="rId541" display="https://my.zakupivli.pro/remote/dispatcher/state_contracting_view/16636207"/>
    <hyperlink ref="B275" r:id="rId542" display="https://my.zakupivli.pro/remote/dispatcher/state_purchase_view/45353314"/>
    <hyperlink ref="C275" r:id="rId543" display="https://my.zakupivli.pro/remote/dispatcher/state_contracting_view/17980514"/>
    <hyperlink ref="B276" r:id="rId544" display="https://my.zakupivli.pro/remote/dispatcher/state_purchase_view/42204984"/>
    <hyperlink ref="C276" r:id="rId545" display="https://my.zakupivli.pro/remote/dispatcher/state_contracting_view/16510086"/>
    <hyperlink ref="B277" r:id="rId546" display="https://my.zakupivli.pro/remote/dispatcher/state_purchase_view/46362801"/>
    <hyperlink ref="C277" r:id="rId547" display="https://my.zakupivli.pro/remote/dispatcher/state_contracting_view/18323488"/>
    <hyperlink ref="B278" r:id="rId548" display="https://my.zakupivli.pro/remote/dispatcher/state_purchase_view/41950052"/>
    <hyperlink ref="C278" r:id="rId549" display="https://my.zakupivli.pro/remote/dispatcher/state_contracting_view/16326745"/>
    <hyperlink ref="B279" r:id="rId550" display="https://my.zakupivli.pro/remote/dispatcher/state_purchase_view/47102442"/>
    <hyperlink ref="C279" r:id="rId551" display="https://my.zakupivli.pro/remote/dispatcher/state_contracting_view/18682988"/>
    <hyperlink ref="B280" r:id="rId552" display="https://my.zakupivli.pro/remote/dispatcher/state_purchase_view/41743076"/>
    <hyperlink ref="C280" r:id="rId553" display="https://my.zakupivli.pro/remote/dispatcher/state_contracting_view/16023014"/>
    <hyperlink ref="B281" r:id="rId554" display="https://my.zakupivli.pro/remote/dispatcher/state_purchase_view/41190878"/>
    <hyperlink ref="C281" r:id="rId555" display="https://my.zakupivli.pro/remote/dispatcher/state_contracting_view/15786597"/>
    <hyperlink ref="B282" r:id="rId556" display="https://my.zakupivli.pro/remote/dispatcher/state_purchase_view/40487074"/>
    <hyperlink ref="C282" r:id="rId557" display="https://my.zakupivli.pro/remote/dispatcher/state_contracting_view/15454873"/>
    <hyperlink ref="B283" r:id="rId558" display="https://my.zakupivli.pro/remote/dispatcher/state_purchase_view/40483482"/>
    <hyperlink ref="C283" r:id="rId559" display="https://my.zakupivli.pro/remote/dispatcher/state_contracting_view/15453028"/>
    <hyperlink ref="B284" r:id="rId560" display="https://my.zakupivli.pro/remote/dispatcher/state_purchase_view/40928133"/>
    <hyperlink ref="C284" r:id="rId561" display="https://my.zakupivli.pro/remote/dispatcher/state_contracting_view/15663158"/>
    <hyperlink ref="B285" r:id="rId562" display="https://my.zakupivli.pro/remote/dispatcher/state_purchase_view/40072300"/>
    <hyperlink ref="C285" r:id="rId563" display="https://my.zakupivli.pro/remote/dispatcher/state_contracting_view/15265667"/>
    <hyperlink ref="B286" r:id="rId564" display="https://my.zakupivli.pro/remote/dispatcher/state_purchase_view/40053175"/>
    <hyperlink ref="C286" r:id="rId565" display="https://my.zakupivli.pro/remote/dispatcher/state_contracting_view/15257456"/>
    <hyperlink ref="B287" r:id="rId566" display="https://my.zakupivli.pro/remote/dispatcher/state_purchase_view/40053721"/>
    <hyperlink ref="C287" r:id="rId567" display="https://my.zakupivli.pro/remote/dispatcher/state_contracting_view/15257693"/>
    <hyperlink ref="B288" r:id="rId568" display="https://my.zakupivli.pro/remote/dispatcher/state_purchase_view/40706280"/>
    <hyperlink ref="C288" r:id="rId569" display="https://my.zakupivli.pro/remote/dispatcher/state_contracting_view/15558020"/>
    <hyperlink ref="B289" r:id="rId570" display="https://my.zakupivli.pro/remote/dispatcher/state_purchase_view/42758889"/>
    <hyperlink ref="C289" r:id="rId571" display="https://my.zakupivli.pro/remote/dispatcher/state_contracting_view/16477390"/>
    <hyperlink ref="B290" r:id="rId572" display="https://my.zakupivli.pro/remote/dispatcher/state_purchase_view/43453823"/>
    <hyperlink ref="C290" r:id="rId573" display="https://my.zakupivli.pro/remote/dispatcher/state_contracting_view/16798913"/>
    <hyperlink ref="B291" r:id="rId574" display="https://my.zakupivli.pro/remote/dispatcher/state_purchase_view/44531014"/>
    <hyperlink ref="C291" r:id="rId575" display="https://my.zakupivli.pro/remote/dispatcher/state_contracting_view/17271596"/>
    <hyperlink ref="B292" r:id="rId576" display="https://my.zakupivli.pro/remote/dispatcher/state_purchase_view/44523782"/>
    <hyperlink ref="C292" r:id="rId577" display="https://my.zakupivli.pro/remote/dispatcher/state_contracting_view/17268370"/>
    <hyperlink ref="B293" r:id="rId578" display="https://my.zakupivli.pro/remote/dispatcher/state_purchase_view/40275305"/>
    <hyperlink ref="C293" r:id="rId579" display="https://my.zakupivli.pro/remote/dispatcher/state_contracting_view/15619163"/>
    <hyperlink ref="B294" r:id="rId580" display="https://my.zakupivli.pro/remote/dispatcher/state_purchase_view/43709463"/>
    <hyperlink ref="C294" r:id="rId581" display="https://my.zakupivli.pro/remote/dispatcher/state_contracting_view/16916978"/>
    <hyperlink ref="B295" r:id="rId582" display="https://my.zakupivli.pro/remote/dispatcher/state_purchase_view/43991927"/>
    <hyperlink ref="C295" r:id="rId583" display="https://my.zakupivli.pro/remote/dispatcher/state_contracting_view/17039147"/>
    <hyperlink ref="B296" r:id="rId584" display="https://my.zakupivli.pro/remote/dispatcher/state_purchase_view/45573331"/>
    <hyperlink ref="C296" r:id="rId585" display="https://my.zakupivli.pro/remote/dispatcher/state_contracting_view/17716392"/>
    <hyperlink ref="B297" r:id="rId586" display="https://my.zakupivli.pro/remote/dispatcher/state_purchase_view/45602510"/>
    <hyperlink ref="C297" r:id="rId587" display="https://my.zakupivli.pro/remote/dispatcher/state_contracting_view/17728674"/>
    <hyperlink ref="B298" r:id="rId588" display="https://my.zakupivli.pro/remote/dispatcher/state_purchase_view/45699548"/>
    <hyperlink ref="C298" r:id="rId589" display="https://my.zakupivli.pro/remote/dispatcher/state_contracting_view/17769720"/>
    <hyperlink ref="B299" r:id="rId590" display="https://my.zakupivli.pro/remote/dispatcher/state_purchase_view/44713932"/>
    <hyperlink ref="C299" r:id="rId591" display="https://my.zakupivli.pro/remote/dispatcher/state_contracting_view/17349551"/>
    <hyperlink ref="B300" r:id="rId592" display="https://my.zakupivli.pro/remote/dispatcher/state_purchase_view/44710814"/>
    <hyperlink ref="C300" r:id="rId593" display="https://my.zakupivli.pro/remote/dispatcher/state_contracting_view/17348376"/>
    <hyperlink ref="B301" r:id="rId594" display="https://my.zakupivli.pro/remote/dispatcher/state_purchase_view/40487836"/>
    <hyperlink ref="C301" r:id="rId595" display="https://my.zakupivli.pro/remote/dispatcher/state_contracting_view/15455262"/>
    <hyperlink ref="B302" r:id="rId596" display="https://my.zakupivli.pro/remote/dispatcher/state_purchase_view/44704896"/>
    <hyperlink ref="C302" r:id="rId597" display="https://my.zakupivli.pro/remote/dispatcher/state_contracting_view/17345653"/>
    <hyperlink ref="B303" r:id="rId598" display="https://my.zakupivli.pro/remote/dispatcher/state_purchase_view/45456539"/>
    <hyperlink ref="C303" r:id="rId599" display="https://my.zakupivli.pro/remote/dispatcher/state_contracting_view/17666563"/>
    <hyperlink ref="B304" r:id="rId600" display="https://my.zakupivli.pro/remote/dispatcher/state_purchase_view/47587402"/>
    <hyperlink ref="C304" r:id="rId601" display="https://my.zakupivli.pro/remote/dispatcher/state_contracting_view/18567494"/>
    <hyperlink ref="B305" r:id="rId602" display="https://my.zakupivli.pro/remote/dispatcher/state_purchase_view/45842880"/>
    <hyperlink ref="C305" r:id="rId603" display="https://my.zakupivli.pro/remote/dispatcher/state_contracting_view/18054642"/>
    <hyperlink ref="B306" r:id="rId604" display="https://my.zakupivli.pro/remote/dispatcher/state_purchase_view/44990301"/>
    <hyperlink ref="C306" r:id="rId605" display="https://my.zakupivli.pro/remote/dispatcher/state_contracting_view/17468854"/>
    <hyperlink ref="B307" r:id="rId606" display="https://my.zakupivli.pro/remote/dispatcher/state_purchase_view/47226519"/>
    <hyperlink ref="C307" r:id="rId607" display="https://my.zakupivli.pro/remote/dispatcher/state_contracting_view/18417771"/>
    <hyperlink ref="B308" r:id="rId608" display="https://my.zakupivli.pro/remote/dispatcher/state_purchase_view/42191132"/>
    <hyperlink ref="C308" r:id="rId609" display="https://my.zakupivli.pro/remote/dispatcher/state_contracting_view/16510461"/>
    <hyperlink ref="B309" r:id="rId610" display="https://my.zakupivli.pro/remote/dispatcher/state_purchase_view/40569037"/>
    <hyperlink ref="C309" r:id="rId611" display="https://my.zakupivli.pro/remote/dispatcher/state_contracting_view/15712156"/>
    <hyperlink ref="B310" r:id="rId612" display="https://my.zakupivli.pro/remote/dispatcher/state_purchase_view/47010977"/>
    <hyperlink ref="C310" r:id="rId613" display="https://my.zakupivli.pro/remote/dispatcher/state_contracting_view/18634287"/>
    <hyperlink ref="B311" r:id="rId614" display="https://my.zakupivli.pro/remote/dispatcher/state_purchase_view/41957032"/>
    <hyperlink ref="C311" r:id="rId615" display="https://my.zakupivli.pro/remote/dispatcher/state_contracting_view/16533703"/>
    <hyperlink ref="B312" r:id="rId616" display="https://my.zakupivli.pro/remote/dispatcher/state_purchase_view/46196975"/>
    <hyperlink ref="C312" r:id="rId617" display="https://my.zakupivli.pro/remote/dispatcher/state_contracting_view/17981519"/>
    <hyperlink ref="B313" r:id="rId618" display="https://my.zakupivli.pro/remote/dispatcher/state_purchase_view/46810864"/>
    <hyperlink ref="C313" r:id="rId619" display="https://my.zakupivli.pro/remote/dispatcher/state_contracting_view/18243756"/>
    <hyperlink ref="B314" r:id="rId620" display="https://my.zakupivli.pro/remote/dispatcher/state_purchase_view/46811883"/>
    <hyperlink ref="C314" r:id="rId621" display="https://my.zakupivli.pro/remote/dispatcher/state_contracting_view/18244282"/>
    <hyperlink ref="B315" r:id="rId622" display="https://my.zakupivli.pro/remote/dispatcher/state_purchase_view/47935489"/>
    <hyperlink ref="C315" r:id="rId623" display="https://my.zakupivli.pro/remote/dispatcher/state_contracting_view/18720206"/>
    <hyperlink ref="B316" r:id="rId624" display="https://my.zakupivli.pro/remote/dispatcher/state_purchase_view/46456072"/>
    <hyperlink ref="C316" r:id="rId625" display="https://my.zakupivli.pro/remote/dispatcher/state_contracting_view/18093416"/>
    <hyperlink ref="B317" r:id="rId626" display="https://my.zakupivli.pro/remote/dispatcher/state_purchase_view/46285828"/>
    <hyperlink ref="C317" r:id="rId627" display="https://my.zakupivli.pro/remote/dispatcher/state_contracting_view/18020544"/>
    <hyperlink ref="B318" r:id="rId628" display="https://my.zakupivli.pro/remote/dispatcher/state_purchase_view/46123540"/>
    <hyperlink ref="C318" r:id="rId629" display="https://my.zakupivli.pro/remote/dispatcher/state_contracting_view/17950117"/>
    <hyperlink ref="B319" r:id="rId630" display="https://my.zakupivli.pro/remote/dispatcher/state_purchase_view/48073228"/>
    <hyperlink ref="C319" r:id="rId631" display="https://my.zakupivli.pro/remote/dispatcher/state_contracting_view/18784447"/>
    <hyperlink ref="B320" r:id="rId632" display="https://my.zakupivli.pro/remote/dispatcher/state_purchase_view/43961488"/>
    <hyperlink ref="C320" r:id="rId633" display="https://my.zakupivli.pro/remote/dispatcher/state_contracting_view/17196089"/>
    <hyperlink ref="B321" r:id="rId634" display="https://my.zakupivli.pro/remote/dispatcher/state_purchase_view/43980578"/>
    <hyperlink ref="C321" r:id="rId635" display="https://my.zakupivli.pro/remote/dispatcher/state_contracting_view/17140974"/>
    <hyperlink ref="B322" r:id="rId636" display="https://my.zakupivli.pro/remote/dispatcher/state_purchase_view/45315702"/>
    <hyperlink ref="C322" r:id="rId637" display="https://my.zakupivli.pro/remote/dispatcher/state_contracting_view/17606063"/>
    <hyperlink ref="B323" r:id="rId638" display="https://my.zakupivli.pro/remote/dispatcher/state_purchase_view/39954500"/>
    <hyperlink ref="C323" r:id="rId639" display="https://my.zakupivli.pro/remote/dispatcher/state_contracting_view/15215071"/>
    <hyperlink ref="B324" r:id="rId640" display="https://my.zakupivli.pro/remote/dispatcher/state_purchase_view/40121104"/>
    <hyperlink ref="C324" r:id="rId641" display="https://my.zakupivli.pro/remote/dispatcher/state_contracting_view/15287018"/>
    <hyperlink ref="B325" r:id="rId642" display="https://my.zakupivli.pro/remote/dispatcher/state_purchase_view/39926502"/>
    <hyperlink ref="C325" r:id="rId643" display="https://my.zakupivli.pro/remote/dispatcher/state_contracting_view/15202847"/>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Специалист по. тендерам</cp:lastModifiedBy>
  <dcterms:created xsi:type="dcterms:W3CDTF">2024-03-28T11:14:31Z</dcterms:created>
  <dcterms:modified xsi:type="dcterms:W3CDTF">2024-03-28T09:18:11Z</dcterms:modified>
  <cp:category/>
</cp:coreProperties>
</file>