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'укр'!$A$5:$M$95</definedName>
    <definedName name="Z_04ACB588_E2F7_4C72_90EE_C1D7F57E0343_.wvu.FilterData" localSheetId="1" hidden="1">'рус'!$A$3:$M$93</definedName>
    <definedName name="Z_04ACB588_E2F7_4C72_90EE_C1D7F57E0343_.wvu.FilterData" localSheetId="0" hidden="1">'укр'!$A$5:$M$95</definedName>
    <definedName name="Z_0AB4131A_8BED_4BFC_A370_C1BC1C9D4C7C_.wvu.FilterData" localSheetId="1" hidden="1">'рус'!$A$3:$M$93</definedName>
    <definedName name="Z_0AB4131A_8BED_4BFC_A370_C1BC1C9D4C7C_.wvu.FilterData" localSheetId="0" hidden="1">'укр'!$A$5:$M$93</definedName>
    <definedName name="Z_1046EEE3_1562_4020_8D2B_824F51BD9219_.wvu.FilterData" localSheetId="1" hidden="1">'рус'!$A$3:$M$93</definedName>
    <definedName name="Z_1054A86F_0A27_49A1_9D7E_76FC64889737_.wvu.FilterData" localSheetId="0" hidden="1">'укр'!$A$5:$M$93</definedName>
    <definedName name="Z_1118C1DB_0416_47C1_A822_3E69CF54CCB3_.wvu.FilterData" localSheetId="0" hidden="1">'укр'!$A$5:$M$93</definedName>
    <definedName name="Z_1C966999_B4C5_43B7_926D_365C642CB6F1_.wvu.FilterData" localSheetId="0" hidden="1">'укр'!$A$5:$M$95</definedName>
    <definedName name="Z_231C1CD9_D5BC_43F0_874C_628A321B7F6D_.wvu.FilterData" localSheetId="1" hidden="1">'рус'!$A$3:$M$93</definedName>
    <definedName name="Z_231C1CD9_D5BC_43F0_874C_628A321B7F6D_.wvu.FilterData" localSheetId="0" hidden="1">'укр'!$A$5:$M$95</definedName>
    <definedName name="Z_24240EEA_952B_4B02_AFBB_C5493EA03E7A_.wvu.FilterData" localSheetId="0" hidden="1">'укр'!$A$5:$M$95</definedName>
    <definedName name="Z_27F388CE_0524_43E5_9E25_7EEC8B6CD1B4_.wvu.FilterData" localSheetId="0" hidden="1">'укр'!$A$5:$M$93</definedName>
    <definedName name="Z_3A145DEE_F66F_4ADC_8CE5_38BF43BF697E_.wvu.FilterData" localSheetId="0" hidden="1">'укр'!$A$5:$M$95</definedName>
    <definedName name="Z_3ABA87E8_DFA0_45BE_BA5D_FCDF1374FB92_.wvu.FilterData" localSheetId="0" hidden="1">'укр'!$A$5:$M$95</definedName>
    <definedName name="Z_3DE70603_A759_4A69_B4A6_A5BF364011E4_.wvu.FilterData" localSheetId="0" hidden="1">'укр'!$A$5:$M$93</definedName>
    <definedName name="Z_4260F083_649D_4241_ADC9_F602D674C2A9_.wvu.FilterData" localSheetId="0" hidden="1">'укр'!$A$5:$M$95</definedName>
    <definedName name="Z_49628C96_C195_416C_8FF0_14DD43C23211_.wvu.FilterData" localSheetId="1" hidden="1">'рус'!$A$3:$M$93</definedName>
    <definedName name="Z_49628C96_C195_416C_8FF0_14DD43C23211_.wvu.FilterData" localSheetId="0" hidden="1">'укр'!$A$5:$M$95</definedName>
    <definedName name="Z_4CD494E0_A5E8_4389_B231_32C134BAAFE3_.wvu.FilterData" localSheetId="1" hidden="1">'рус'!$A$3:$M$93</definedName>
    <definedName name="Z_4CD494E0_A5E8_4389_B231_32C134BAAFE3_.wvu.FilterData" localSheetId="0" hidden="1">'укр'!$A$5:$M$93</definedName>
    <definedName name="Z_4F73FC08_4ACE_4F60_8CCD_8CB6CCF71C74_.wvu.FilterData" localSheetId="0" hidden="1">'укр'!$A$5:$M$93</definedName>
    <definedName name="Z_58053810_807D_4B5B_A58D_D2B31B4E7C2D_.wvu.FilterData" localSheetId="0" hidden="1">'укр'!$A$5:$M$95</definedName>
    <definedName name="Z_5BF60E64_9CFF_4192_B734_77E73C07738E_.wvu.FilterData" localSheetId="0" hidden="1">'укр'!$A$5:$M$93</definedName>
    <definedName name="Z_617CC03B_61AA_4EAA_90A8_4FFD22DB74E3_.wvu.FilterData" localSheetId="0" hidden="1">'укр'!$A$5:$M$93</definedName>
    <definedName name="Z_6631C4E3_E3DE_4FDA_8360_88DA555E1CDC_.wvu.FilterData" localSheetId="1" hidden="1">'рус'!$A$3:$M$93</definedName>
    <definedName name="Z_6631C4E3_E3DE_4FDA_8360_88DA555E1CDC_.wvu.FilterData" localSheetId="0" hidden="1">'укр'!$A$5:$M$95</definedName>
    <definedName name="Z_672E82EF_B617_4568_88A0_B0D5C24A9181_.wvu.FilterData" localSheetId="0" hidden="1">'укр'!$A$5:$M$93</definedName>
    <definedName name="Z_6D745CBB_D96C_4096_B121_CE1FF649F302_.wvu.FilterData" localSheetId="0" hidden="1">'укр'!$A$5:$M$95</definedName>
    <definedName name="Z_72A9030B_9E1B_4FF0_81DC_13BA92CF6228_.wvu.FilterData" localSheetId="0" hidden="1">'укр'!$A$5:$M$95</definedName>
    <definedName name="Z_77FC4776_5A4A_492C_991A_5A42D696A663_.wvu.FilterData" localSheetId="0" hidden="1">'укр'!$A$5:$M$95</definedName>
    <definedName name="Z_79E0FD67_78FE_4620_A1A7_B5C455565654_.wvu.FilterData" localSheetId="0" hidden="1">'укр'!$A$5:$M$93</definedName>
    <definedName name="Z_83D0CCFC_E5EE_4571_B75B_A5A7C3C26172_.wvu.FilterData" localSheetId="1" hidden="1">'рус'!$A$3:$M$93</definedName>
    <definedName name="Z_8857BE6F_1159_4631_824E_129574F12620_.wvu.FilterData" localSheetId="0" hidden="1">'укр'!$A$5:$M$95</definedName>
    <definedName name="Z_88C6652C_1959_4D9F_BDAD_4D2FA65820E4_.wvu.FilterData" localSheetId="0" hidden="1">'укр'!$A$5:$M$93</definedName>
    <definedName name="Z_8EE5D67B_4CA5_40A5_A922_CD0FEE1CC0D1_.wvu.FilterData" localSheetId="0" hidden="1">'укр'!$A$5:$M$93</definedName>
    <definedName name="Z_94E5261F_BBF3_44CC_BB96_6EE4FAC48D5E_.wvu.FilterData" localSheetId="1" hidden="1">'рус'!$A$3:$M$93</definedName>
    <definedName name="Z_94E5261F_BBF3_44CC_BB96_6EE4FAC48D5E_.wvu.FilterData" localSheetId="0" hidden="1">'укр'!$A$5:$M$95</definedName>
    <definedName name="Z_9E428FD8_4A7F_4695_B619_6CD4A85A7CD9_.wvu.FilterData" localSheetId="0" hidden="1">'укр'!$A$5:$M$93</definedName>
    <definedName name="Z_B005A4D0_4D83_4519_8DC2_94F47F9339DB_.wvu.FilterData" localSheetId="0" hidden="1">'укр'!$A$5:$M$95</definedName>
    <definedName name="Z_B6AA2B40_3CC2_41A0_9585_B2CF71A6FBEA_.wvu.FilterData" localSheetId="0" hidden="1">'укр'!$A$5:$M$93</definedName>
    <definedName name="Z_BD696675_756F_4C65_9FBC_AF64F1E4ED1A_.wvu.FilterData" localSheetId="0" hidden="1">'укр'!$A$5:$M$95</definedName>
    <definedName name="Z_BF88407D_B535_4517_A33E_4B66B4BE59F2_.wvu.FilterData" localSheetId="0" hidden="1">'укр'!$A$5:$M$93</definedName>
    <definedName name="Z_C412732E_09B2_4FD4_A85C_B91F17699E15_.wvu.FilterData" localSheetId="0" hidden="1">'укр'!$A$5:$M$93</definedName>
    <definedName name="Z_CCB6C31A_E2C2_467C_B0EF_22068EE5B7E6_.wvu.FilterData" localSheetId="0" hidden="1">'укр'!$A$5:$M$95</definedName>
    <definedName name="Z_D104884C_FD01_40AC_AF92_9F7466C1E6B1_.wvu.FilterData" localSheetId="1" hidden="1">'рус'!$A$3:$M$93</definedName>
    <definedName name="Z_D104884C_FD01_40AC_AF92_9F7466C1E6B1_.wvu.FilterData" localSheetId="0" hidden="1">'укр'!$A$5:$M$95</definedName>
    <definedName name="Z_D266BC48_5515_4A75_9DB6_3A407AEB8B33_.wvu.FilterData" localSheetId="0" hidden="1">'укр'!$A$5:$M$93</definedName>
    <definedName name="Z_D456CF22_C4A3_47CC_9796_39031F9CB851_.wvu.FilterData" localSheetId="1" hidden="1">'рус'!$A$3:$M$93</definedName>
    <definedName name="Z_D456CF22_C4A3_47CC_9796_39031F9CB851_.wvu.FilterData" localSheetId="0" hidden="1">'укр'!$A$5:$M$95</definedName>
    <definedName name="Z_DD69DD97_1E5C_4687_BB7A_6E54A3A2851D_.wvu.FilterData" localSheetId="0" hidden="1">'укр'!$A$5:$M$93</definedName>
    <definedName name="Z_E9CFA120_5FC1_4ACD_A9F4_51CC159105FA_.wvu.FilterData" localSheetId="0" hidden="1">'укр'!$A$5:$M$95</definedName>
    <definedName name="Z_EDF91F7F_6349_440C_99E3_AA497F3CC267_.wvu.FilterData" localSheetId="1" hidden="1">'рус'!$A$3:$M$93</definedName>
    <definedName name="Z_EDF91F7F_6349_440C_99E3_AA497F3CC267_.wvu.FilterData" localSheetId="0" hidden="1">'укр'!$A$5:$M$95</definedName>
    <definedName name="Z_F0F0F2F2_6B0B_46F3_97EF_06EC5C7DBFC2_.wvu.FilterData" localSheetId="0" hidden="1">'укр'!$A$5:$M$95</definedName>
    <definedName name="Z_F91456B9_4E53_4C5A_B738_AE85B41E256C_.wvu.FilterData" localSheetId="0" hidden="1">'укр'!$A$5:$M$93</definedName>
    <definedName name="Z_F9194F6B_BA54_43F5_8AA8_2451A733CA6A_.wvu.FilterData" localSheetId="1" hidden="1">'рус'!$A$3:$M$93</definedName>
    <definedName name="Z_F9194F6B_BA54_43F5_8AA8_2451A733CA6A_.wvu.FilterData" localSheetId="0" hidden="1">'укр'!$A$5:$M$95</definedName>
  </definedNames>
  <calcPr fullCalcOnLoad="1"/>
</workbook>
</file>

<file path=xl/sharedStrings.xml><?xml version="1.0" encoding="utf-8"?>
<sst xmlns="http://schemas.openxmlformats.org/spreadsheetml/2006/main" count="190" uniqueCount="77">
  <si>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</si>
  <si>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</si>
  <si>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</si>
  <si>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</si>
  <si>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</si>
  <si>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</si>
  <si>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</si>
  <si>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</si>
  <si>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</si>
  <si>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</si>
  <si>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</si>
  <si>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</si>
  <si>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</si>
  <si>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</si>
  <si>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</si>
  <si>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</si>
  <si>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</si>
  <si>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</si>
  <si>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</si>
  <si>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</si>
  <si>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</si>
  <si>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</si>
  <si>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</si>
  <si>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</si>
  <si>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</si>
  <si>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</si>
  <si>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</si>
  <si>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</si>
  <si>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</si>
  <si>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</si>
  <si>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</si>
  <si>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</si>
  <si>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</si>
  <si>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</si>
  <si>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</si>
  <si>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</si>
  <si>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</si>
  <si>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</si>
  <si>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</si>
  <si>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</si>
  <si>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</si>
  <si>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</si>
  <si>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</si>
  <si>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</si>
  <si>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</si>
  <si>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</si>
  <si>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</si>
  <si>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</si>
  <si>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</si>
  <si>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</si>
  <si>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</si>
  <si>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</si>
  <si>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</si>
  <si>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</si>
  <si>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</si>
  <si>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</si>
  <si>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</si>
  <si>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</si>
  <si>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</si>
  <si>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</si>
  <si>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</si>
  <si>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</si>
  <si>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</si>
  <si>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</si>
  <si>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</si>
  <si>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</si>
  <si>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</si>
  <si>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</si>
  <si>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</si>
  <si>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</si>
  <si>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</si>
  <si>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</si>
  <si>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</si>
  <si>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 xml:space="preserve">План на январь-октябрь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</si>
  <si>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6 листопада </t>
    </r>
    <r>
      <rPr>
        <sz val="11"/>
        <rFont val="Times New Roman"/>
        <family val="1"/>
      </rPr>
      <t xml:space="preserve">тис. грн.  </t>
    </r>
  </si>
  <si>
    <t>План на січень-листопад з урахуванням змін, тис. грн.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</si>
  <si>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06 ноября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</si>
</sst>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zoomScale="110" zoomScaleNormal="110" zoomScalePageLayoutView="0" workbookViewId="0" topLeftCell="A1">
      <pane xSplit="1" ySplit="5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4" sqref="A94:IV100"/>
    </sheetView>
  </sheetViews>
  <sheetFormatPr defaultColWidth="9.140625" defaultRowHeight="15"/>
  <cols>
    <col min="1" max="1" width="36.140625" style="57" customWidth="1"/>
    <col min="2" max="3" width="17.28125" style="57" customWidth="1"/>
    <col min="4" max="4" width="15.8515625" style="57" customWidth="1"/>
    <col min="5" max="5" width="14.7109375" style="57" customWidth="1"/>
    <col min="6" max="6" width="15.140625" style="57" customWidth="1"/>
    <col min="7" max="10" width="9.140625" style="57" customWidth="1"/>
    <col min="11" max="16384" width="9.140625" style="8" customWidth="1"/>
  </cols>
  <sheetData>
    <row r="1" spans="1:10" s="1" customFormat="1" ht="32.25" customHeight="1">
      <c r="A1" s="69" t="s">
        <v>72</v>
      </c>
      <c r="B1" s="69"/>
      <c r="C1" s="69"/>
      <c r="D1" s="69"/>
      <c r="E1" s="69"/>
      <c r="F1" s="69"/>
      <c r="G1" s="60"/>
      <c r="H1" s="60"/>
      <c r="I1" s="60"/>
      <c r="J1" s="60"/>
    </row>
    <row r="2" spans="1:10" s="1" customFormat="1" ht="12.75" customHeight="1">
      <c r="A2" s="13"/>
      <c r="B2" s="13"/>
      <c r="C2" s="13"/>
      <c r="D2" s="13"/>
      <c r="E2" s="13"/>
      <c r="F2" s="14"/>
      <c r="G2" s="60"/>
      <c r="H2" s="60"/>
      <c r="I2" s="60"/>
      <c r="J2" s="60"/>
    </row>
    <row r="3" spans="1:10" s="1" customFormat="1" ht="31.5" customHeight="1">
      <c r="A3" s="68"/>
      <c r="B3" s="68" t="s">
        <v>17</v>
      </c>
      <c r="C3" s="68" t="s">
        <v>75</v>
      </c>
      <c r="D3" s="70" t="s">
        <v>74</v>
      </c>
      <c r="E3" s="68" t="s">
        <v>15</v>
      </c>
      <c r="F3" s="68" t="s">
        <v>16</v>
      </c>
      <c r="G3" s="60"/>
      <c r="H3" s="60"/>
      <c r="I3" s="60"/>
      <c r="J3" s="60"/>
    </row>
    <row r="4" spans="1:10" s="1" customFormat="1" ht="33" customHeight="1">
      <c r="A4" s="68"/>
      <c r="B4" s="68"/>
      <c r="C4" s="68"/>
      <c r="D4" s="70"/>
      <c r="E4" s="68"/>
      <c r="F4" s="68"/>
      <c r="G4" s="60"/>
      <c r="H4" s="60"/>
      <c r="I4" s="60"/>
      <c r="J4" s="60"/>
    </row>
    <row r="5" spans="1:10" s="2" customFormat="1" ht="16.5" customHeight="1">
      <c r="A5" s="15" t="s">
        <v>3</v>
      </c>
      <c r="B5" s="16">
        <f>B6+B13</f>
        <v>597838.184</v>
      </c>
      <c r="C5" s="16">
        <f>C6+C13</f>
        <v>541415.11878</v>
      </c>
      <c r="D5" s="16">
        <f>D6+D13</f>
        <v>456936.16031999997</v>
      </c>
      <c r="E5" s="17">
        <f>SUM(D5)/B5*100</f>
        <v>76.43141113248129</v>
      </c>
      <c r="F5" s="17">
        <f>SUM(D5)/C5*100</f>
        <v>84.39663845177411</v>
      </c>
      <c r="G5" s="61"/>
      <c r="H5" s="63"/>
      <c r="I5" s="63"/>
      <c r="J5" s="63"/>
    </row>
    <row r="6" spans="1:10" s="12" customFormat="1" ht="16.5" customHeight="1">
      <c r="A6" s="28" t="s">
        <v>34</v>
      </c>
      <c r="B6" s="53">
        <f>562310.395+15</f>
        <v>562325.395</v>
      </c>
      <c r="C6" s="23">
        <v>506364.32978</v>
      </c>
      <c r="D6" s="23">
        <v>433144.96637</v>
      </c>
      <c r="E6" s="18">
        <f>SUM(D6)/B6*100</f>
        <v>77.0274595850326</v>
      </c>
      <c r="F6" s="18">
        <f>SUM(D6)/C6*100</f>
        <v>85.54018142592872</v>
      </c>
      <c r="G6" s="62"/>
      <c r="H6" s="64"/>
      <c r="I6" s="64"/>
      <c r="J6" s="64"/>
    </row>
    <row r="7" spans="1:10" s="3" customFormat="1" ht="14.25" customHeight="1">
      <c r="A7" s="10" t="s">
        <v>1</v>
      </c>
      <c r="B7" s="9">
        <f>312527.163</f>
        <v>312527.163</v>
      </c>
      <c r="C7" s="9">
        <v>285779.276</v>
      </c>
      <c r="D7" s="9">
        <v>250419.35918</v>
      </c>
      <c r="E7" s="18">
        <f aca="true" t="shared" si="0" ref="E7:E73">SUM(D7)/B7*100</f>
        <v>80.12723015055174</v>
      </c>
      <c r="F7" s="18">
        <f aca="true" t="shared" si="1" ref="F7:F73">SUM(D7)/C7*100</f>
        <v>87.626843585397</v>
      </c>
      <c r="G7" s="62"/>
      <c r="H7" s="62"/>
      <c r="I7" s="62"/>
      <c r="J7" s="62"/>
    </row>
    <row r="8" spans="1:10" s="3" customFormat="1" ht="15">
      <c r="A8" s="10" t="s">
        <v>29</v>
      </c>
      <c r="B8" s="9">
        <v>113569.19</v>
      </c>
      <c r="C8" s="9">
        <v>103994.549</v>
      </c>
      <c r="D8" s="9">
        <v>91542.67367</v>
      </c>
      <c r="E8" s="18">
        <f t="shared" si="0"/>
        <v>80.60520082075077</v>
      </c>
      <c r="F8" s="18">
        <f t="shared" si="1"/>
        <v>88.02641537490585</v>
      </c>
      <c r="G8" s="62"/>
      <c r="H8" s="62"/>
      <c r="I8" s="62"/>
      <c r="J8" s="62"/>
    </row>
    <row r="9" spans="1:10" s="3" customFormat="1" ht="15">
      <c r="A9" s="10" t="s">
        <v>4</v>
      </c>
      <c r="B9" s="9">
        <v>73.087</v>
      </c>
      <c r="C9" s="9">
        <v>73.087</v>
      </c>
      <c r="D9" s="9">
        <v>72.45466</v>
      </c>
      <c r="E9" s="18">
        <f t="shared" si="0"/>
        <v>99.13481193645929</v>
      </c>
      <c r="F9" s="18"/>
      <c r="G9" s="62"/>
      <c r="H9" s="62"/>
      <c r="I9" s="62"/>
      <c r="J9" s="62"/>
    </row>
    <row r="10" spans="1:10" s="3" customFormat="1" ht="15">
      <c r="A10" s="10" t="s">
        <v>5</v>
      </c>
      <c r="B10" s="9">
        <v>33349.211</v>
      </c>
      <c r="C10" s="9">
        <v>28481.877</v>
      </c>
      <c r="D10" s="9">
        <v>23286.6606</v>
      </c>
      <c r="E10" s="18">
        <f t="shared" si="0"/>
        <v>69.82672123787276</v>
      </c>
      <c r="F10" s="18">
        <f t="shared" si="1"/>
        <v>81.75957153385642</v>
      </c>
      <c r="G10" s="62"/>
      <c r="H10" s="62"/>
      <c r="I10" s="62"/>
      <c r="J10" s="62"/>
    </row>
    <row r="11" spans="1:10" s="3" customFormat="1" ht="15">
      <c r="A11" s="10" t="s">
        <v>31</v>
      </c>
      <c r="B11" s="9">
        <v>78527.174</v>
      </c>
      <c r="C11" s="9">
        <v>64475.829</v>
      </c>
      <c r="D11" s="9">
        <v>49843.42807</v>
      </c>
      <c r="E11" s="18">
        <f t="shared" si="0"/>
        <v>63.472840713712685</v>
      </c>
      <c r="F11" s="18">
        <f t="shared" si="1"/>
        <v>77.30560249174928</v>
      </c>
      <c r="G11" s="62"/>
      <c r="H11" s="62"/>
      <c r="I11" s="62"/>
      <c r="J11" s="62"/>
    </row>
    <row r="12" spans="1:10" s="3" customFormat="1" ht="15">
      <c r="A12" s="10" t="s">
        <v>13</v>
      </c>
      <c r="B12" s="9">
        <f>SUM(B6)-B7-B8-B9-B10-B11</f>
        <v>24279.570000000007</v>
      </c>
      <c r="C12" s="9">
        <f>SUM(C6)-C7-C8-C9-C10-C11</f>
        <v>23559.711779999954</v>
      </c>
      <c r="D12" s="9">
        <f>SUM(D6)-D7-D8-D9-D10-D11</f>
        <v>17980.39018999997</v>
      </c>
      <c r="E12" s="18">
        <f t="shared" si="0"/>
        <v>74.055636858478</v>
      </c>
      <c r="F12" s="18">
        <f t="shared" si="1"/>
        <v>76.31837926499458</v>
      </c>
      <c r="G12" s="62"/>
      <c r="H12" s="62"/>
      <c r="I12" s="62"/>
      <c r="J12" s="62"/>
    </row>
    <row r="13" spans="1:10" s="3" customFormat="1" ht="15">
      <c r="A13" s="28" t="s">
        <v>14</v>
      </c>
      <c r="B13" s="56">
        <f>16516.755+17001.334+5+615.08+1374.62</f>
        <v>35512.789000000004</v>
      </c>
      <c r="C13" s="23">
        <v>35050.789</v>
      </c>
      <c r="D13" s="23">
        <v>23791.19395</v>
      </c>
      <c r="E13" s="18">
        <f t="shared" si="0"/>
        <v>66.99331316951759</v>
      </c>
      <c r="F13" s="18">
        <f t="shared" si="1"/>
        <v>67.87634352539112</v>
      </c>
      <c r="G13" s="62"/>
      <c r="H13" s="62"/>
      <c r="I13" s="62"/>
      <c r="J13" s="62"/>
    </row>
    <row r="14" spans="1:10" s="2" customFormat="1" ht="14.25">
      <c r="A14" s="15" t="s">
        <v>6</v>
      </c>
      <c r="B14" s="16">
        <f>B15+B22</f>
        <v>373273.95</v>
      </c>
      <c r="C14" s="16">
        <f>C15+C22</f>
        <v>344544.11655999994</v>
      </c>
      <c r="D14" s="16">
        <f>D15+D22</f>
        <v>293862.01886999997</v>
      </c>
      <c r="E14" s="17">
        <f t="shared" si="0"/>
        <v>78.7255630536232</v>
      </c>
      <c r="F14" s="17">
        <f t="shared" si="1"/>
        <v>85.29009921979787</v>
      </c>
      <c r="G14" s="63"/>
      <c r="H14" s="63"/>
      <c r="I14" s="63"/>
      <c r="J14" s="63"/>
    </row>
    <row r="15" spans="1:10" s="12" customFormat="1" ht="15">
      <c r="A15" s="28" t="s">
        <v>33</v>
      </c>
      <c r="B15" s="23">
        <f>327920.177+25068</f>
        <v>352988.177</v>
      </c>
      <c r="C15" s="23">
        <f>301269.02056+22989.323</f>
        <v>324258.34355999995</v>
      </c>
      <c r="D15" s="23">
        <f>256113.4662+20910.646</f>
        <v>277024.1122</v>
      </c>
      <c r="E15" s="18">
        <f>SUM(D15)/B15*100</f>
        <v>78.47971412368294</v>
      </c>
      <c r="F15" s="18">
        <f>SUM(D15)/C15*100</f>
        <v>85.43314850701448</v>
      </c>
      <c r="G15" s="64"/>
      <c r="H15" s="64"/>
      <c r="I15" s="64"/>
      <c r="J15" s="64"/>
    </row>
    <row r="16" spans="1:10" s="3" customFormat="1" ht="15">
      <c r="A16" s="10" t="s">
        <v>1</v>
      </c>
      <c r="B16" s="9">
        <v>138388.382</v>
      </c>
      <c r="C16" s="9">
        <v>127072.752</v>
      </c>
      <c r="D16" s="9">
        <v>112362.21109</v>
      </c>
      <c r="E16" s="18">
        <f t="shared" si="0"/>
        <v>81.19338449234849</v>
      </c>
      <c r="F16" s="18">
        <f t="shared" si="1"/>
        <v>88.42352850751199</v>
      </c>
      <c r="G16" s="62"/>
      <c r="H16" s="62"/>
      <c r="I16" s="62"/>
      <c r="J16" s="62"/>
    </row>
    <row r="17" spans="1:10" s="3" customFormat="1" ht="15">
      <c r="A17" s="10" t="s">
        <v>29</v>
      </c>
      <c r="B17" s="9">
        <v>49741.847</v>
      </c>
      <c r="C17" s="9">
        <v>45775.1146</v>
      </c>
      <c r="D17" s="9">
        <v>39896.43508</v>
      </c>
      <c r="E17" s="18">
        <f t="shared" si="0"/>
        <v>80.206983628895</v>
      </c>
      <c r="F17" s="18">
        <f t="shared" si="1"/>
        <v>87.15747722016627</v>
      </c>
      <c r="G17" s="62"/>
      <c r="H17" s="62"/>
      <c r="I17" s="62"/>
      <c r="J17" s="62"/>
    </row>
    <row r="18" spans="1:10" s="3" customFormat="1" ht="15">
      <c r="A18" s="10" t="s">
        <v>4</v>
      </c>
      <c r="B18" s="56">
        <v>11580.269</v>
      </c>
      <c r="C18" s="9">
        <v>10812.9697</v>
      </c>
      <c r="D18" s="9">
        <v>9928.07677</v>
      </c>
      <c r="E18" s="18">
        <f t="shared" si="0"/>
        <v>85.73269558764135</v>
      </c>
      <c r="F18" s="18">
        <f t="shared" si="1"/>
        <v>91.81637464497842</v>
      </c>
      <c r="G18" s="62"/>
      <c r="H18" s="62"/>
      <c r="I18" s="62"/>
      <c r="J18" s="62"/>
    </row>
    <row r="19" spans="1:10" s="3" customFormat="1" ht="15">
      <c r="A19" s="10" t="s">
        <v>5</v>
      </c>
      <c r="B19" s="9">
        <v>4056.884</v>
      </c>
      <c r="C19" s="9">
        <v>3737.85</v>
      </c>
      <c r="D19" s="9">
        <v>3359.96583</v>
      </c>
      <c r="E19" s="18">
        <f t="shared" si="0"/>
        <v>82.82134342515093</v>
      </c>
      <c r="F19" s="18">
        <f t="shared" si="1"/>
        <v>89.89033348047674</v>
      </c>
      <c r="G19" s="62"/>
      <c r="H19" s="62"/>
      <c r="I19" s="62"/>
      <c r="J19" s="62"/>
    </row>
    <row r="20" spans="1:10" s="3" customFormat="1" ht="15">
      <c r="A20" s="10" t="s">
        <v>31</v>
      </c>
      <c r="B20" s="9">
        <v>30224.41</v>
      </c>
      <c r="C20" s="9">
        <v>1219.85255</v>
      </c>
      <c r="D20" s="9">
        <v>18567.07326</v>
      </c>
      <c r="E20" s="18">
        <f t="shared" si="0"/>
        <v>61.430721923107846</v>
      </c>
      <c r="F20" s="18">
        <f t="shared" si="1"/>
        <v>1522.0752098276141</v>
      </c>
      <c r="G20" s="62"/>
      <c r="H20" s="62"/>
      <c r="I20" s="62"/>
      <c r="J20" s="62"/>
    </row>
    <row r="21" spans="1:10" s="3" customFormat="1" ht="15">
      <c r="A21" s="54" t="s">
        <v>13</v>
      </c>
      <c r="B21" s="9">
        <f>SUM(B15)-B16-B17-B18-B19-B20</f>
        <v>118996.38500000001</v>
      </c>
      <c r="C21" s="9">
        <f>SUM(C15)-C16-C17-C18-C19-C20</f>
        <v>135639.80470999997</v>
      </c>
      <c r="D21" s="9">
        <f>SUM(D15)-D16-D17-D18-D19-D20</f>
        <v>92910.35016999998</v>
      </c>
      <c r="E21" s="18">
        <f t="shared" si="0"/>
        <v>78.07829638690282</v>
      </c>
      <c r="F21" s="18">
        <f t="shared" si="1"/>
        <v>68.49785014704479</v>
      </c>
      <c r="G21" s="62"/>
      <c r="H21" s="62"/>
      <c r="I21" s="62"/>
      <c r="J21" s="62"/>
    </row>
    <row r="22" spans="1:10" s="3" customFormat="1" ht="15">
      <c r="A22" s="55" t="s">
        <v>14</v>
      </c>
      <c r="B22" s="23">
        <f>11416.945+8868.828</f>
        <v>20285.773</v>
      </c>
      <c r="C22" s="23">
        <f>8868.828+11416.945</f>
        <v>20285.773</v>
      </c>
      <c r="D22" s="23">
        <v>16837.90667</v>
      </c>
      <c r="E22" s="18">
        <f t="shared" si="0"/>
        <v>83.00352503205079</v>
      </c>
      <c r="F22" s="18">
        <f t="shared" si="1"/>
        <v>83.00352503205079</v>
      </c>
      <c r="G22" s="62"/>
      <c r="H22" s="62"/>
      <c r="I22" s="62"/>
      <c r="J22" s="62"/>
    </row>
    <row r="23" spans="1:10" s="2" customFormat="1" ht="28.5">
      <c r="A23" s="15" t="s">
        <v>28</v>
      </c>
      <c r="B23" s="16">
        <f>B24+B34</f>
        <v>700089.562</v>
      </c>
      <c r="C23" s="16">
        <f>C24+C34</f>
        <v>539977.6579999999</v>
      </c>
      <c r="D23" s="16">
        <f>D24+D34</f>
        <v>478419.461</v>
      </c>
      <c r="E23" s="17">
        <f t="shared" si="0"/>
        <v>68.33689387301564</v>
      </c>
      <c r="F23" s="17">
        <f t="shared" si="1"/>
        <v>88.59986221874388</v>
      </c>
      <c r="G23" s="63"/>
      <c r="H23" s="63"/>
      <c r="I23" s="63"/>
      <c r="J23" s="63"/>
    </row>
    <row r="24" spans="1:10" s="12" customFormat="1" ht="15">
      <c r="A24" s="28" t="s">
        <v>33</v>
      </c>
      <c r="B24" s="23">
        <v>696905.234</v>
      </c>
      <c r="C24" s="23">
        <v>536843.565</v>
      </c>
      <c r="D24" s="23">
        <v>477308.21</v>
      </c>
      <c r="E24" s="18">
        <f>SUM(D24)/B24*100</f>
        <v>68.48968650449252</v>
      </c>
      <c r="F24" s="18">
        <f>SUM(D24)/C24*100</f>
        <v>88.91011108608521</v>
      </c>
      <c r="G24" s="64"/>
      <c r="H24" s="64"/>
      <c r="I24" s="64"/>
      <c r="J24" s="64"/>
    </row>
    <row r="25" spans="1:10" s="3" customFormat="1" ht="15">
      <c r="A25" s="10" t="s">
        <v>1</v>
      </c>
      <c r="B25" s="9">
        <v>11580.045</v>
      </c>
      <c r="C25" s="9">
        <v>10335.523</v>
      </c>
      <c r="D25" s="9">
        <v>9245.697</v>
      </c>
      <c r="E25" s="18">
        <f t="shared" si="0"/>
        <v>79.84163273976914</v>
      </c>
      <c r="F25" s="18">
        <f t="shared" si="1"/>
        <v>89.45553118115069</v>
      </c>
      <c r="G25" s="62"/>
      <c r="H25" s="62"/>
      <c r="I25" s="62"/>
      <c r="J25" s="62"/>
    </row>
    <row r="26" spans="1:10" s="3" customFormat="1" ht="15">
      <c r="A26" s="10" t="s">
        <v>29</v>
      </c>
      <c r="B26" s="9">
        <v>4156.328</v>
      </c>
      <c r="C26" s="9">
        <v>3722.499</v>
      </c>
      <c r="D26" s="9">
        <v>3327.331</v>
      </c>
      <c r="E26" s="18">
        <f t="shared" si="0"/>
        <v>80.05458183281011</v>
      </c>
      <c r="F26" s="18">
        <f t="shared" si="1"/>
        <v>89.38433563044612</v>
      </c>
      <c r="G26" s="62"/>
      <c r="H26" s="62"/>
      <c r="I26" s="62"/>
      <c r="J26" s="62"/>
    </row>
    <row r="27" spans="1:10" s="3" customFormat="1" ht="15">
      <c r="A27" s="10" t="s">
        <v>4</v>
      </c>
      <c r="B27" s="9">
        <v>77.62</v>
      </c>
      <c r="C27" s="9">
        <v>76.38</v>
      </c>
      <c r="D27" s="9">
        <v>75.58</v>
      </c>
      <c r="E27" s="18">
        <f t="shared" si="0"/>
        <v>97.3718113888173</v>
      </c>
      <c r="F27" s="18">
        <f t="shared" si="1"/>
        <v>98.95260539408223</v>
      </c>
      <c r="G27" s="62"/>
      <c r="H27" s="62"/>
      <c r="I27" s="62"/>
      <c r="J27" s="62"/>
    </row>
    <row r="28" spans="1:10" s="3" customFormat="1" ht="15">
      <c r="A28" s="10" t="s">
        <v>5</v>
      </c>
      <c r="B28" s="9">
        <v>138.829</v>
      </c>
      <c r="C28" s="9">
        <v>132.1</v>
      </c>
      <c r="D28" s="9">
        <v>125.201</v>
      </c>
      <c r="E28" s="18">
        <f t="shared" si="0"/>
        <v>90.1836071714123</v>
      </c>
      <c r="F28" s="18">
        <f t="shared" si="1"/>
        <v>94.777441332324</v>
      </c>
      <c r="G28" s="62"/>
      <c r="H28" s="62"/>
      <c r="I28" s="62"/>
      <c r="J28" s="62"/>
    </row>
    <row r="29" spans="1:10" s="3" customFormat="1" ht="15">
      <c r="A29" s="10" t="s">
        <v>31</v>
      </c>
      <c r="B29" s="9">
        <v>1150.295</v>
      </c>
      <c r="C29" s="9">
        <v>930.457</v>
      </c>
      <c r="D29" s="9">
        <v>712.487</v>
      </c>
      <c r="E29" s="18">
        <f t="shared" si="0"/>
        <v>61.939502475451945</v>
      </c>
      <c r="F29" s="18">
        <f t="shared" si="1"/>
        <v>76.57387713779357</v>
      </c>
      <c r="G29" s="62"/>
      <c r="H29" s="62"/>
      <c r="I29" s="62"/>
      <c r="J29" s="62"/>
    </row>
    <row r="30" spans="1:10" s="3" customFormat="1" ht="15">
      <c r="A30" s="10" t="s">
        <v>13</v>
      </c>
      <c r="B30" s="9">
        <f>SUM(B24)-B25-B26-B27-B28-B29</f>
        <v>679802.117</v>
      </c>
      <c r="C30" s="9">
        <f>SUM(C24)-C25-C26-C27-C28-C29</f>
        <v>521646.6059999999</v>
      </c>
      <c r="D30" s="9">
        <f>SUM(D24)-D25-D26-D27-D28-D29</f>
        <v>463821.914</v>
      </c>
      <c r="E30" s="18">
        <f t="shared" si="0"/>
        <v>68.22895992834927</v>
      </c>
      <c r="F30" s="18">
        <f t="shared" si="1"/>
        <v>88.91496823042688</v>
      </c>
      <c r="G30" s="62"/>
      <c r="H30" s="62"/>
      <c r="I30" s="62"/>
      <c r="J30" s="62"/>
    </row>
    <row r="31" spans="1:10" s="3" customFormat="1" ht="15">
      <c r="A31" s="10" t="s">
        <v>20</v>
      </c>
      <c r="B31" s="9">
        <f>SUM(B32:B33)</f>
        <v>664987.23</v>
      </c>
      <c r="C31" s="9">
        <f>SUM(C32:C33)</f>
        <v>507454.759</v>
      </c>
      <c r="D31" s="9">
        <f>SUM(D32:D33)</f>
        <v>451626.967</v>
      </c>
      <c r="E31" s="18">
        <f>SUM(D31)/B31*100</f>
        <v>67.91513379888514</v>
      </c>
      <c r="F31" s="18">
        <f>SUM(D31)/C31*100</f>
        <v>88.9984691226435</v>
      </c>
      <c r="G31" s="62"/>
      <c r="H31" s="62"/>
      <c r="I31" s="62"/>
      <c r="J31" s="62"/>
    </row>
    <row r="32" spans="1:10" s="3" customFormat="1" ht="30">
      <c r="A32" s="11" t="s">
        <v>24</v>
      </c>
      <c r="B32" s="9">
        <v>431369.7</v>
      </c>
      <c r="C32" s="9">
        <v>390327.851</v>
      </c>
      <c r="D32" s="9">
        <v>371808.686</v>
      </c>
      <c r="E32" s="18">
        <f>SUM(D32)/B32*100</f>
        <v>86.19258283555845</v>
      </c>
      <c r="F32" s="18">
        <f>SUM(D32)/C32*100</f>
        <v>95.25548460030335</v>
      </c>
      <c r="G32" s="62"/>
      <c r="H32" s="62"/>
      <c r="I32" s="62"/>
      <c r="J32" s="62"/>
    </row>
    <row r="33" spans="1:10" s="3" customFormat="1" ht="15">
      <c r="A33" s="11" t="s">
        <v>21</v>
      </c>
      <c r="B33" s="9">
        <v>233617.53</v>
      </c>
      <c r="C33" s="9">
        <v>117126.908</v>
      </c>
      <c r="D33" s="9">
        <v>79818.281</v>
      </c>
      <c r="E33" s="18">
        <f>SUM(D33)/B33*100</f>
        <v>34.16622074550656</v>
      </c>
      <c r="F33" s="18">
        <f>SUM(D33)/C33*100</f>
        <v>68.14683522594143</v>
      </c>
      <c r="G33" s="62"/>
      <c r="H33" s="62"/>
      <c r="I33" s="62"/>
      <c r="J33" s="62"/>
    </row>
    <row r="34" spans="1:10" s="3" customFormat="1" ht="15">
      <c r="A34" s="28" t="s">
        <v>14</v>
      </c>
      <c r="B34" s="23">
        <v>3184.328</v>
      </c>
      <c r="C34" s="23">
        <v>3134.093</v>
      </c>
      <c r="D34" s="23">
        <v>1111.251</v>
      </c>
      <c r="E34" s="18">
        <f>SUM(D34)/B34*100</f>
        <v>34.89750427719758</v>
      </c>
      <c r="F34" s="18">
        <f>SUM(D34)/C34*100</f>
        <v>35.45686104400858</v>
      </c>
      <c r="G34" s="62"/>
      <c r="H34" s="62"/>
      <c r="I34" s="62"/>
      <c r="J34" s="62"/>
    </row>
    <row r="35" spans="1:10" s="3" customFormat="1" ht="15">
      <c r="A35" s="10" t="s">
        <v>68</v>
      </c>
      <c r="B35" s="9">
        <v>156.528</v>
      </c>
      <c r="C35" s="9">
        <v>106.293</v>
      </c>
      <c r="D35" s="9">
        <v>58.293</v>
      </c>
      <c r="E35" s="18">
        <f>SUM(D35)/B35*100</f>
        <v>37.24126034958602</v>
      </c>
      <c r="F35" s="18">
        <f>SUM(D35)/C35*100</f>
        <v>54.841805198837164</v>
      </c>
      <c r="G35" s="62"/>
      <c r="H35" s="62"/>
      <c r="I35" s="62"/>
      <c r="J35" s="62"/>
    </row>
    <row r="36" spans="1:10" s="2" customFormat="1" ht="14.25">
      <c r="A36" s="15" t="s">
        <v>7</v>
      </c>
      <c r="B36" s="16">
        <f>B37+B42</f>
        <v>96866.24799999999</v>
      </c>
      <c r="C36" s="16">
        <f>C37+C42</f>
        <v>88493.135</v>
      </c>
      <c r="D36" s="16">
        <f>D37+D42</f>
        <v>69231.18227</v>
      </c>
      <c r="E36" s="17">
        <f t="shared" si="0"/>
        <v>71.47090312613328</v>
      </c>
      <c r="F36" s="17">
        <f t="shared" si="1"/>
        <v>78.23339321180113</v>
      </c>
      <c r="G36" s="63"/>
      <c r="H36" s="63"/>
      <c r="I36" s="63"/>
      <c r="J36" s="63"/>
    </row>
    <row r="37" spans="1:10" s="12" customFormat="1" ht="15">
      <c r="A37" s="28" t="s">
        <v>33</v>
      </c>
      <c r="B37" s="23">
        <v>77949.817</v>
      </c>
      <c r="C37" s="23">
        <v>69776.704</v>
      </c>
      <c r="D37" s="23">
        <v>59575.27296</v>
      </c>
      <c r="E37" s="18">
        <f>SUM(D37)/B37*100</f>
        <v>76.42772652051256</v>
      </c>
      <c r="F37" s="18">
        <f>SUM(D37)/C37*100</f>
        <v>85.37988976951391</v>
      </c>
      <c r="G37" s="64"/>
      <c r="H37" s="64"/>
      <c r="I37" s="64"/>
      <c r="J37" s="64"/>
    </row>
    <row r="38" spans="1:10" s="3" customFormat="1" ht="15">
      <c r="A38" s="10" t="s">
        <v>1</v>
      </c>
      <c r="B38" s="9">
        <v>33097.391</v>
      </c>
      <c r="C38" s="9">
        <v>30186.763</v>
      </c>
      <c r="D38" s="9">
        <v>26559.45887</v>
      </c>
      <c r="E38" s="18">
        <f t="shared" si="0"/>
        <v>80.24638216951902</v>
      </c>
      <c r="F38" s="18">
        <f t="shared" si="1"/>
        <v>87.98379233308322</v>
      </c>
      <c r="G38" s="62"/>
      <c r="H38" s="62"/>
      <c r="I38" s="62"/>
      <c r="J38" s="62"/>
    </row>
    <row r="39" spans="1:10" s="3" customFormat="1" ht="15">
      <c r="A39" s="10" t="s">
        <v>29</v>
      </c>
      <c r="B39" s="9">
        <v>12086.354</v>
      </c>
      <c r="C39" s="9">
        <v>11045.253</v>
      </c>
      <c r="D39" s="9">
        <v>9685.60301</v>
      </c>
      <c r="E39" s="18">
        <f t="shared" si="0"/>
        <v>80.13668150047567</v>
      </c>
      <c r="F39" s="18">
        <f t="shared" si="1"/>
        <v>87.69018699707468</v>
      </c>
      <c r="G39" s="62"/>
      <c r="H39" s="62"/>
      <c r="I39" s="62"/>
      <c r="J39" s="62"/>
    </row>
    <row r="40" spans="1:10" s="3" customFormat="1" ht="15">
      <c r="A40" s="10" t="s">
        <v>31</v>
      </c>
      <c r="B40" s="9">
        <v>5631.026</v>
      </c>
      <c r="C40" s="9">
        <v>4417.978</v>
      </c>
      <c r="D40" s="9">
        <v>3324.53061</v>
      </c>
      <c r="E40" s="18">
        <f t="shared" si="0"/>
        <v>59.03951802033946</v>
      </c>
      <c r="F40" s="18">
        <f t="shared" si="1"/>
        <v>75.25004900431827</v>
      </c>
      <c r="G40" s="62"/>
      <c r="H40" s="62"/>
      <c r="I40" s="62"/>
      <c r="J40" s="62"/>
    </row>
    <row r="41" spans="1:10" s="3" customFormat="1" ht="15">
      <c r="A41" s="10" t="s">
        <v>13</v>
      </c>
      <c r="B41" s="9">
        <f>SUM(B37)-B38-B39-B40</f>
        <v>27135.045999999995</v>
      </c>
      <c r="C41" s="9">
        <f>SUM(C37)-C38-C39-C40</f>
        <v>24126.71</v>
      </c>
      <c r="D41" s="9">
        <f>SUM(D37)-D38-D39-D40</f>
        <v>20005.68047</v>
      </c>
      <c r="E41" s="18">
        <f t="shared" si="0"/>
        <v>73.72635546665373</v>
      </c>
      <c r="F41" s="18">
        <f t="shared" si="1"/>
        <v>82.91922301051407</v>
      </c>
      <c r="G41" s="62"/>
      <c r="H41" s="62"/>
      <c r="I41" s="62"/>
      <c r="J41" s="62"/>
    </row>
    <row r="42" spans="1:10" s="3" customFormat="1" ht="15">
      <c r="A42" s="28" t="s">
        <v>14</v>
      </c>
      <c r="B42" s="23">
        <f>8951+9965.431</f>
        <v>18916.431</v>
      </c>
      <c r="C42" s="23">
        <v>18716.431</v>
      </c>
      <c r="D42" s="23">
        <v>9655.90931</v>
      </c>
      <c r="E42" s="18">
        <f t="shared" si="0"/>
        <v>51.045090429584725</v>
      </c>
      <c r="F42" s="18">
        <f t="shared" si="1"/>
        <v>51.59054795222443</v>
      </c>
      <c r="G42" s="62"/>
      <c r="H42" s="62"/>
      <c r="I42" s="62"/>
      <c r="J42" s="62"/>
    </row>
    <row r="43" spans="1:10" s="2" customFormat="1" ht="14.25">
      <c r="A43" s="15" t="s">
        <v>8</v>
      </c>
      <c r="B43" s="16">
        <f>B44+B49</f>
        <v>45876.041</v>
      </c>
      <c r="C43" s="16">
        <f>C44+C49</f>
        <v>41854.769</v>
      </c>
      <c r="D43" s="16">
        <f>D44+D49</f>
        <v>34907.78185</v>
      </c>
      <c r="E43" s="17">
        <f t="shared" si="0"/>
        <v>76.09153076221202</v>
      </c>
      <c r="F43" s="17">
        <f t="shared" si="1"/>
        <v>83.40216105361853</v>
      </c>
      <c r="G43" s="63"/>
      <c r="H43" s="63"/>
      <c r="I43" s="63"/>
      <c r="J43" s="63"/>
    </row>
    <row r="44" spans="1:10" s="12" customFormat="1" ht="15">
      <c r="A44" s="28" t="s">
        <v>33</v>
      </c>
      <c r="B44" s="23">
        <v>40360.364</v>
      </c>
      <c r="C44" s="23">
        <v>36339.092</v>
      </c>
      <c r="D44" s="23">
        <v>31192.99467</v>
      </c>
      <c r="E44" s="18">
        <f>SUM(D44)/B44*100</f>
        <v>77.28620750298487</v>
      </c>
      <c r="F44" s="18">
        <f>SUM(D44)/C44*100</f>
        <v>85.83867387220353</v>
      </c>
      <c r="G44" s="64"/>
      <c r="H44" s="64"/>
      <c r="I44" s="64"/>
      <c r="J44" s="64"/>
    </row>
    <row r="45" spans="1:10" s="3" customFormat="1" ht="15">
      <c r="A45" s="10" t="s">
        <v>1</v>
      </c>
      <c r="B45" s="9">
        <v>20371.66</v>
      </c>
      <c r="C45" s="9">
        <v>18397.533</v>
      </c>
      <c r="D45" s="9">
        <v>16036.48337</v>
      </c>
      <c r="E45" s="18">
        <f t="shared" si="0"/>
        <v>78.71957106097392</v>
      </c>
      <c r="F45" s="18">
        <f t="shared" si="1"/>
        <v>87.1664878655198</v>
      </c>
      <c r="G45" s="62"/>
      <c r="H45" s="62"/>
      <c r="I45" s="62"/>
      <c r="J45" s="62"/>
    </row>
    <row r="46" spans="1:10" s="3" customFormat="1" ht="15">
      <c r="A46" s="10" t="s">
        <v>29</v>
      </c>
      <c r="B46" s="9">
        <v>7318.765</v>
      </c>
      <c r="C46" s="9">
        <v>6611.967</v>
      </c>
      <c r="D46" s="9">
        <v>5770.67297</v>
      </c>
      <c r="E46" s="18">
        <f t="shared" si="0"/>
        <v>78.84763303644809</v>
      </c>
      <c r="F46" s="18">
        <f t="shared" si="1"/>
        <v>87.27619133610315</v>
      </c>
      <c r="G46" s="62"/>
      <c r="H46" s="62"/>
      <c r="I46" s="62"/>
      <c r="J46" s="62"/>
    </row>
    <row r="47" spans="1:10" s="3" customFormat="1" ht="15">
      <c r="A47" s="10" t="s">
        <v>31</v>
      </c>
      <c r="B47" s="9">
        <v>3303.442</v>
      </c>
      <c r="C47" s="9">
        <v>2684.241</v>
      </c>
      <c r="D47" s="9">
        <v>1888.4225</v>
      </c>
      <c r="E47" s="18">
        <f t="shared" si="0"/>
        <v>57.16529910317784</v>
      </c>
      <c r="F47" s="18">
        <f t="shared" si="1"/>
        <v>70.35219639369193</v>
      </c>
      <c r="G47" s="62"/>
      <c r="H47" s="62"/>
      <c r="I47" s="62"/>
      <c r="J47" s="62"/>
    </row>
    <row r="48" spans="1:10" s="3" customFormat="1" ht="15">
      <c r="A48" s="10" t="s">
        <v>13</v>
      </c>
      <c r="B48" s="9">
        <f>SUM(B44)-B45-B46-B47</f>
        <v>9366.497000000003</v>
      </c>
      <c r="C48" s="9">
        <f>SUM(C44)-C45-C46-C47</f>
        <v>8645.350999999997</v>
      </c>
      <c r="D48" s="9">
        <f>SUM(D44)-D45-D46-D47</f>
        <v>7497.415830000001</v>
      </c>
      <c r="E48" s="18">
        <f t="shared" si="0"/>
        <v>80.04503529974973</v>
      </c>
      <c r="F48" s="18">
        <f t="shared" si="1"/>
        <v>86.72193679585715</v>
      </c>
      <c r="G48" s="62"/>
      <c r="H48" s="62"/>
      <c r="I48" s="62"/>
      <c r="J48" s="62"/>
    </row>
    <row r="49" spans="1:10" s="3" customFormat="1" ht="15">
      <c r="A49" s="28" t="s">
        <v>14</v>
      </c>
      <c r="B49" s="23">
        <f>2828.9+2686.777</f>
        <v>5515.677</v>
      </c>
      <c r="C49" s="23">
        <v>5515.677</v>
      </c>
      <c r="D49" s="23">
        <v>3714.78718</v>
      </c>
      <c r="E49" s="18">
        <f t="shared" si="0"/>
        <v>67.34961419967122</v>
      </c>
      <c r="F49" s="18">
        <f t="shared" si="1"/>
        <v>67.34961419967122</v>
      </c>
      <c r="G49" s="62"/>
      <c r="H49" s="62"/>
      <c r="I49" s="62"/>
      <c r="J49" s="62"/>
    </row>
    <row r="50" spans="1:10" s="3" customFormat="1" ht="14.25">
      <c r="A50" s="15" t="s">
        <v>0</v>
      </c>
      <c r="B50" s="16">
        <f>B51+B56</f>
        <v>79111.3</v>
      </c>
      <c r="C50" s="16">
        <f>C51+C56</f>
        <v>72223.599</v>
      </c>
      <c r="D50" s="16">
        <f>D51+D56</f>
        <v>61875.259959999996</v>
      </c>
      <c r="E50" s="17">
        <f t="shared" si="0"/>
        <v>78.21292275566195</v>
      </c>
      <c r="F50" s="17">
        <f t="shared" si="1"/>
        <v>85.67180369950825</v>
      </c>
      <c r="G50" s="62"/>
      <c r="H50" s="62"/>
      <c r="I50" s="62"/>
      <c r="J50" s="62"/>
    </row>
    <row r="51" spans="1:10" s="3" customFormat="1" ht="15">
      <c r="A51" s="28" t="s">
        <v>33</v>
      </c>
      <c r="B51" s="23">
        <f>74795.85-89.88</f>
        <v>74705.97</v>
      </c>
      <c r="C51" s="23">
        <v>67818.269</v>
      </c>
      <c r="D51" s="23">
        <v>59027.85746</v>
      </c>
      <c r="E51" s="18">
        <f>SUM(D51)/B51*100</f>
        <v>79.01357476517606</v>
      </c>
      <c r="F51" s="18">
        <f>SUM(D51)/C51*100</f>
        <v>87.03828382880135</v>
      </c>
      <c r="G51" s="62"/>
      <c r="H51" s="62"/>
      <c r="I51" s="62"/>
      <c r="J51" s="62"/>
    </row>
    <row r="52" spans="1:10" s="3" customFormat="1" ht="15">
      <c r="A52" s="10" t="s">
        <v>1</v>
      </c>
      <c r="B52" s="9">
        <v>41542.044</v>
      </c>
      <c r="C52" s="9">
        <v>37527.34</v>
      </c>
      <c r="D52" s="9">
        <v>33504.57993</v>
      </c>
      <c r="E52" s="18">
        <f t="shared" si="0"/>
        <v>80.65221809981232</v>
      </c>
      <c r="F52" s="18">
        <f t="shared" si="1"/>
        <v>89.2804550762191</v>
      </c>
      <c r="G52" s="62"/>
      <c r="H52" s="62"/>
      <c r="I52" s="62"/>
      <c r="J52" s="62"/>
    </row>
    <row r="53" spans="1:10" s="3" customFormat="1" ht="15">
      <c r="A53" s="10" t="s">
        <v>29</v>
      </c>
      <c r="B53" s="9">
        <v>15008.932</v>
      </c>
      <c r="C53" s="9">
        <v>13655.424</v>
      </c>
      <c r="D53" s="9">
        <v>12108.30974</v>
      </c>
      <c r="E53" s="18">
        <f t="shared" si="0"/>
        <v>80.67402623984171</v>
      </c>
      <c r="F53" s="18">
        <f t="shared" si="1"/>
        <v>88.67033158399182</v>
      </c>
      <c r="G53" s="62"/>
      <c r="H53" s="62"/>
      <c r="I53" s="62"/>
      <c r="J53" s="62"/>
    </row>
    <row r="54" spans="1:10" s="3" customFormat="1" ht="15">
      <c r="A54" s="10" t="s">
        <v>31</v>
      </c>
      <c r="B54" s="9">
        <v>4210.676</v>
      </c>
      <c r="C54" s="9">
        <v>3554.652</v>
      </c>
      <c r="D54" s="9">
        <v>2601.33353</v>
      </c>
      <c r="E54" s="18">
        <f t="shared" si="0"/>
        <v>61.779475077160996</v>
      </c>
      <c r="F54" s="18">
        <f t="shared" si="1"/>
        <v>73.18110267896829</v>
      </c>
      <c r="G54" s="62"/>
      <c r="H54" s="62"/>
      <c r="I54" s="62"/>
      <c r="J54" s="62"/>
    </row>
    <row r="55" spans="1:10" s="3" customFormat="1" ht="15">
      <c r="A55" s="10" t="s">
        <v>13</v>
      </c>
      <c r="B55" s="9">
        <f>SUM(B51)-B52-B53-B54</f>
        <v>13944.318</v>
      </c>
      <c r="C55" s="9">
        <f>SUM(C51)-C52-C53-C54</f>
        <v>13080.853000000005</v>
      </c>
      <c r="D55" s="9">
        <f>SUM(D51)-D52-D53-D54</f>
        <v>10813.634259999999</v>
      </c>
      <c r="E55" s="18">
        <f t="shared" si="0"/>
        <v>77.54867796331094</v>
      </c>
      <c r="F55" s="18">
        <f t="shared" si="1"/>
        <v>82.6676537072926</v>
      </c>
      <c r="G55" s="62"/>
      <c r="H55" s="62"/>
      <c r="I55" s="62"/>
      <c r="J55" s="62"/>
    </row>
    <row r="56" spans="1:10" s="3" customFormat="1" ht="15">
      <c r="A56" s="28" t="s">
        <v>14</v>
      </c>
      <c r="B56" s="23">
        <f>200+4205.33</f>
        <v>4405.33</v>
      </c>
      <c r="C56" s="23">
        <f>200+4205.33</f>
        <v>4405.33</v>
      </c>
      <c r="D56" s="23">
        <v>2847.4025</v>
      </c>
      <c r="E56" s="18">
        <f t="shared" si="0"/>
        <v>64.63539621322353</v>
      </c>
      <c r="F56" s="18">
        <f t="shared" si="1"/>
        <v>64.63539621322353</v>
      </c>
      <c r="G56" s="62"/>
      <c r="H56" s="62"/>
      <c r="I56" s="62"/>
      <c r="J56" s="62"/>
    </row>
    <row r="57" spans="1:10" s="3" customFormat="1" ht="14.25" customHeight="1">
      <c r="A57" s="19" t="s">
        <v>9</v>
      </c>
      <c r="B57" s="20">
        <f>B58+B63</f>
        <v>294043.634</v>
      </c>
      <c r="C57" s="20">
        <f>C58+C63</f>
        <v>281012.653</v>
      </c>
      <c r="D57" s="20">
        <f>D58+D63</f>
        <v>200316.35004000002</v>
      </c>
      <c r="E57" s="17">
        <f t="shared" si="0"/>
        <v>68.12470221341368</v>
      </c>
      <c r="F57" s="17">
        <f t="shared" si="1"/>
        <v>71.28374751154</v>
      </c>
      <c r="G57" s="62"/>
      <c r="H57" s="62"/>
      <c r="I57" s="62"/>
      <c r="J57" s="62"/>
    </row>
    <row r="58" spans="1:10" s="3" customFormat="1" ht="14.25" customHeight="1">
      <c r="A58" s="28" t="s">
        <v>33</v>
      </c>
      <c r="B58" s="23">
        <f>158681.628+35861.8-500</f>
        <v>194043.428</v>
      </c>
      <c r="C58" s="23">
        <f>149379.647+31632.8</f>
        <v>181012.447</v>
      </c>
      <c r="D58" s="23">
        <f>124361.18762+10791.2016</f>
        <v>135152.38922</v>
      </c>
      <c r="E58" s="18">
        <f>SUM(D58)/B58*100</f>
        <v>69.65058833118533</v>
      </c>
      <c r="F58" s="18">
        <f>SUM(D58)/C58*100</f>
        <v>74.66469375998216</v>
      </c>
      <c r="G58" s="62"/>
      <c r="H58" s="62"/>
      <c r="I58" s="62"/>
      <c r="J58" s="62"/>
    </row>
    <row r="59" spans="1:10" s="3" customFormat="1" ht="15">
      <c r="A59" s="10" t="s">
        <v>1</v>
      </c>
      <c r="B59" s="9">
        <v>423.637</v>
      </c>
      <c r="C59" s="9">
        <v>410.845</v>
      </c>
      <c r="D59" s="9">
        <v>336.75035</v>
      </c>
      <c r="E59" s="18">
        <f t="shared" si="0"/>
        <v>79.49030655962534</v>
      </c>
      <c r="F59" s="18">
        <f t="shared" si="1"/>
        <v>81.96530321654151</v>
      </c>
      <c r="G59" s="62"/>
      <c r="H59" s="62"/>
      <c r="I59" s="62"/>
      <c r="J59" s="62"/>
    </row>
    <row r="60" spans="1:10" s="3" customFormat="1" ht="15">
      <c r="A60" s="10" t="s">
        <v>29</v>
      </c>
      <c r="B60" s="9">
        <v>153.961</v>
      </c>
      <c r="C60" s="9">
        <v>149.311</v>
      </c>
      <c r="D60" s="9">
        <v>119.63592</v>
      </c>
      <c r="E60" s="18">
        <f t="shared" si="0"/>
        <v>77.70534096297114</v>
      </c>
      <c r="F60" s="18">
        <f t="shared" si="1"/>
        <v>80.12532231382818</v>
      </c>
      <c r="G60" s="62"/>
      <c r="H60" s="62"/>
      <c r="I60" s="62"/>
      <c r="J60" s="62"/>
    </row>
    <row r="61" spans="1:10" s="3" customFormat="1" ht="15">
      <c r="A61" s="10" t="s">
        <v>31</v>
      </c>
      <c r="B61" s="9">
        <v>15891.008</v>
      </c>
      <c r="C61" s="9">
        <v>141153.278</v>
      </c>
      <c r="D61" s="9">
        <v>11757.35831</v>
      </c>
      <c r="E61" s="18">
        <f t="shared" si="0"/>
        <v>73.9874922346021</v>
      </c>
      <c r="F61" s="18">
        <f t="shared" si="1"/>
        <v>8.329497179654588</v>
      </c>
      <c r="G61" s="62"/>
      <c r="H61" s="62"/>
      <c r="I61" s="62"/>
      <c r="J61" s="62"/>
    </row>
    <row r="62" spans="1:10" s="3" customFormat="1" ht="15">
      <c r="A62" s="10" t="s">
        <v>13</v>
      </c>
      <c r="B62" s="9">
        <f>SUM(B58)-B59-B60-B61</f>
        <v>177574.82200000001</v>
      </c>
      <c r="C62" s="9">
        <f>SUM(C58)-C59-C60-C61</f>
        <v>39299.013000000006</v>
      </c>
      <c r="D62" s="9">
        <f>SUM(D58)-D59-D60-D61</f>
        <v>122938.64464000003</v>
      </c>
      <c r="E62" s="18">
        <f t="shared" si="0"/>
        <v>69.23202470674588</v>
      </c>
      <c r="F62" s="18">
        <f t="shared" si="1"/>
        <v>312.82883526871274</v>
      </c>
      <c r="G62" s="62"/>
      <c r="H62" s="62"/>
      <c r="I62" s="62"/>
      <c r="J62" s="62"/>
    </row>
    <row r="63" spans="1:10" s="3" customFormat="1" ht="15">
      <c r="A63" s="28" t="s">
        <v>14</v>
      </c>
      <c r="B63" s="23">
        <f>61251.718-35861.8+74373.288+237</f>
        <v>100000.206</v>
      </c>
      <c r="C63" s="23">
        <v>100000.206</v>
      </c>
      <c r="D63" s="23">
        <v>65163.96082</v>
      </c>
      <c r="E63" s="18">
        <f t="shared" si="0"/>
        <v>65.16382658251723</v>
      </c>
      <c r="F63" s="18">
        <f t="shared" si="1"/>
        <v>65.16382658251723</v>
      </c>
      <c r="G63" s="62"/>
      <c r="H63" s="62"/>
      <c r="I63" s="62"/>
      <c r="J63" s="62"/>
    </row>
    <row r="64" spans="1:10" s="3" customFormat="1" ht="17.25" customHeight="1">
      <c r="A64" s="19" t="s">
        <v>23</v>
      </c>
      <c r="B64" s="20">
        <f>SUM(B65)</f>
        <v>76063.756</v>
      </c>
      <c r="C64" s="20">
        <f>SUM(C65)</f>
        <v>72801.421</v>
      </c>
      <c r="D64" s="20">
        <f>SUM(D65)</f>
        <v>30269.50487</v>
      </c>
      <c r="E64" s="17">
        <f t="shared" si="0"/>
        <v>39.79491213923226</v>
      </c>
      <c r="F64" s="17">
        <f t="shared" si="1"/>
        <v>41.57817863198027</v>
      </c>
      <c r="G64" s="62"/>
      <c r="H64" s="62"/>
      <c r="I64" s="62"/>
      <c r="J64" s="62"/>
    </row>
    <row r="65" spans="1:10" s="3" customFormat="1" ht="15">
      <c r="A65" s="28" t="s">
        <v>14</v>
      </c>
      <c r="B65" s="23">
        <f>19538.959+63761.797-7237</f>
        <v>76063.756</v>
      </c>
      <c r="C65" s="23">
        <v>72801.421</v>
      </c>
      <c r="D65" s="23">
        <v>30269.50487</v>
      </c>
      <c r="E65" s="18">
        <f t="shared" si="0"/>
        <v>39.79491213923226</v>
      </c>
      <c r="F65" s="18">
        <f t="shared" si="1"/>
        <v>41.57817863198027</v>
      </c>
      <c r="G65" s="62"/>
      <c r="H65" s="62"/>
      <c r="I65" s="62"/>
      <c r="J65" s="62"/>
    </row>
    <row r="66" spans="1:10" s="3" customFormat="1" ht="15" customHeight="1">
      <c r="A66" s="21" t="s">
        <v>18</v>
      </c>
      <c r="B66" s="20">
        <f>SUM(B67:B68)</f>
        <v>158745.844</v>
      </c>
      <c r="C66" s="20">
        <f>SUM(C67:C68)</f>
        <v>154520.21365</v>
      </c>
      <c r="D66" s="20">
        <f>SUM(D67:D68)</f>
        <v>123774.58107</v>
      </c>
      <c r="E66" s="17">
        <f t="shared" si="0"/>
        <v>77.97028126922176</v>
      </c>
      <c r="F66" s="17">
        <f t="shared" si="1"/>
        <v>80.10251742879338</v>
      </c>
      <c r="G66" s="62"/>
      <c r="H66" s="62"/>
      <c r="I66" s="62"/>
      <c r="J66" s="62"/>
    </row>
    <row r="67" spans="1:10" s="3" customFormat="1" ht="15">
      <c r="A67" s="28" t="s">
        <v>13</v>
      </c>
      <c r="B67" s="23">
        <f>59582.369+500</f>
        <v>60082.369</v>
      </c>
      <c r="C67" s="23">
        <v>57562.73865</v>
      </c>
      <c r="D67" s="23">
        <v>50872.76853</v>
      </c>
      <c r="E67" s="18">
        <f t="shared" si="0"/>
        <v>84.67170881694096</v>
      </c>
      <c r="F67" s="18">
        <f t="shared" si="1"/>
        <v>88.37795025584663</v>
      </c>
      <c r="G67" s="62"/>
      <c r="H67" s="62"/>
      <c r="I67" s="62"/>
      <c r="J67" s="62"/>
    </row>
    <row r="68" spans="1:10" s="3" customFormat="1" ht="15">
      <c r="A68" s="28" t="s">
        <v>14</v>
      </c>
      <c r="B68" s="23">
        <f>40309.086+52354.389+6000</f>
        <v>98663.475</v>
      </c>
      <c r="C68" s="23">
        <v>96957.475</v>
      </c>
      <c r="D68" s="23">
        <v>72901.81254</v>
      </c>
      <c r="E68" s="18">
        <f t="shared" si="0"/>
        <v>73.88936234001487</v>
      </c>
      <c r="F68" s="18">
        <f t="shared" si="1"/>
        <v>75.18947099230874</v>
      </c>
      <c r="G68" s="62"/>
      <c r="H68" s="62"/>
      <c r="I68" s="62"/>
      <c r="J68" s="62"/>
    </row>
    <row r="69" spans="1:10" s="3" customFormat="1" ht="60.75" customHeight="1">
      <c r="A69" s="22" t="s">
        <v>22</v>
      </c>
      <c r="B69" s="20">
        <f>SUM(B70:B70)</f>
        <v>46206</v>
      </c>
      <c r="C69" s="20">
        <f>SUM(C70:C70)</f>
        <v>46206</v>
      </c>
      <c r="D69" s="20">
        <f>SUM(D70:D70)</f>
        <v>33049.95</v>
      </c>
      <c r="E69" s="17">
        <f t="shared" si="0"/>
        <v>71.52739903908582</v>
      </c>
      <c r="F69" s="17">
        <f t="shared" si="1"/>
        <v>71.52739903908582</v>
      </c>
      <c r="G69" s="62"/>
      <c r="H69" s="62"/>
      <c r="I69" s="62"/>
      <c r="J69" s="62"/>
    </row>
    <row r="70" spans="1:10" s="3" customFormat="1" ht="15">
      <c r="A70" s="28" t="s">
        <v>14</v>
      </c>
      <c r="B70" s="23">
        <v>46206</v>
      </c>
      <c r="C70" s="23">
        <v>46206</v>
      </c>
      <c r="D70" s="23">
        <v>33049.95</v>
      </c>
      <c r="E70" s="18">
        <f t="shared" si="0"/>
        <v>71.52739903908582</v>
      </c>
      <c r="F70" s="18">
        <f t="shared" si="1"/>
        <v>71.52739903908582</v>
      </c>
      <c r="G70" s="62"/>
      <c r="H70" s="62"/>
      <c r="I70" s="62"/>
      <c r="J70" s="62"/>
    </row>
    <row r="71" spans="1:10" s="3" customFormat="1" ht="42.75">
      <c r="A71" s="21" t="s">
        <v>10</v>
      </c>
      <c r="B71" s="16">
        <f>SUM(B72)+B75</f>
        <v>6808.700000000001</v>
      </c>
      <c r="C71" s="16">
        <f>SUM(C72)+C75</f>
        <v>6493.688</v>
      </c>
      <c r="D71" s="16">
        <f>SUM(D72)+D75</f>
        <v>4322.015</v>
      </c>
      <c r="E71" s="17">
        <f t="shared" si="0"/>
        <v>63.4778298353577</v>
      </c>
      <c r="F71" s="17">
        <f t="shared" si="1"/>
        <v>66.55717059396757</v>
      </c>
      <c r="G71" s="62"/>
      <c r="H71" s="62"/>
      <c r="I71" s="62"/>
      <c r="J71" s="62"/>
    </row>
    <row r="72" spans="1:10" s="3" customFormat="1" ht="15">
      <c r="A72" s="28" t="s">
        <v>33</v>
      </c>
      <c r="B72" s="23">
        <v>5036.657</v>
      </c>
      <c r="C72" s="23">
        <v>4721.645</v>
      </c>
      <c r="D72" s="23">
        <v>4322.015</v>
      </c>
      <c r="E72" s="18">
        <f>SUM(D72)/B72*100</f>
        <v>85.81118388645484</v>
      </c>
      <c r="F72" s="18">
        <f>SUM(D72)/C72*100</f>
        <v>91.53621248526731</v>
      </c>
      <c r="G72" s="62"/>
      <c r="H72" s="62"/>
      <c r="I72" s="62"/>
      <c r="J72" s="62"/>
    </row>
    <row r="73" spans="1:10" s="3" customFormat="1" ht="15">
      <c r="A73" s="10" t="s">
        <v>31</v>
      </c>
      <c r="B73" s="9">
        <v>6.072</v>
      </c>
      <c r="C73" s="9">
        <v>5.372</v>
      </c>
      <c r="D73" s="9">
        <v>1.49</v>
      </c>
      <c r="E73" s="18">
        <f t="shared" si="0"/>
        <v>24.538866930171277</v>
      </c>
      <c r="F73" s="18">
        <f t="shared" si="1"/>
        <v>27.736411020104246</v>
      </c>
      <c r="G73" s="62"/>
      <c r="H73" s="62"/>
      <c r="I73" s="62"/>
      <c r="J73" s="62"/>
    </row>
    <row r="74" spans="1:10" s="3" customFormat="1" ht="15">
      <c r="A74" s="10" t="s">
        <v>13</v>
      </c>
      <c r="B74" s="9">
        <f>SUM(B72)-B73</f>
        <v>5030.585</v>
      </c>
      <c r="C74" s="9">
        <f>SUM(C72)-C73</f>
        <v>4716.273</v>
      </c>
      <c r="D74" s="9">
        <f>SUM(D72)-D73</f>
        <v>4320.525000000001</v>
      </c>
      <c r="E74" s="18">
        <f aca="true" t="shared" si="2" ref="E74:E92">SUM(D74)/B74*100</f>
        <v>85.88514059498051</v>
      </c>
      <c r="F74" s="18">
        <f aca="true" t="shared" si="3" ref="F74:F92">SUM(D74)/C74*100</f>
        <v>91.60888269190525</v>
      </c>
      <c r="G74" s="62"/>
      <c r="H74" s="62"/>
      <c r="I74" s="62"/>
      <c r="J74" s="62"/>
    </row>
    <row r="75" spans="1:10" s="3" customFormat="1" ht="15">
      <c r="A75" s="28" t="s">
        <v>14</v>
      </c>
      <c r="B75" s="23">
        <f>1700+72.043</f>
        <v>1772.0430000000001</v>
      </c>
      <c r="C75" s="23">
        <f>1700+72.043</f>
        <v>1772.0430000000001</v>
      </c>
      <c r="D75" s="23"/>
      <c r="E75" s="18">
        <f t="shared" si="2"/>
        <v>0</v>
      </c>
      <c r="F75" s="18">
        <f t="shared" si="3"/>
        <v>0</v>
      </c>
      <c r="G75" s="62"/>
      <c r="H75" s="62"/>
      <c r="I75" s="62"/>
      <c r="J75" s="62"/>
    </row>
    <row r="76" spans="1:10" s="2" customFormat="1" ht="14.25">
      <c r="A76" s="21" t="s">
        <v>11</v>
      </c>
      <c r="B76" s="16">
        <v>2500</v>
      </c>
      <c r="C76" s="16">
        <v>1700</v>
      </c>
      <c r="D76" s="16"/>
      <c r="E76" s="17">
        <f t="shared" si="2"/>
        <v>0</v>
      </c>
      <c r="F76" s="17"/>
      <c r="G76" s="63"/>
      <c r="H76" s="63"/>
      <c r="I76" s="63"/>
      <c r="J76" s="63"/>
    </row>
    <row r="77" spans="1:10" s="2" customFormat="1" ht="14.25">
      <c r="A77" s="21" t="s">
        <v>12</v>
      </c>
      <c r="B77" s="16">
        <v>18418.4</v>
      </c>
      <c r="C77" s="16">
        <v>16883.6</v>
      </c>
      <c r="D77" s="16">
        <v>15348.8</v>
      </c>
      <c r="E77" s="17">
        <f t="shared" si="2"/>
        <v>83.33405724710072</v>
      </c>
      <c r="F77" s="17">
        <f t="shared" si="3"/>
        <v>90.90952166599541</v>
      </c>
      <c r="G77" s="63"/>
      <c r="H77" s="63"/>
      <c r="I77" s="63"/>
      <c r="J77" s="63"/>
    </row>
    <row r="78" spans="1:10" s="2" customFormat="1" ht="14.25">
      <c r="A78" s="15" t="s">
        <v>19</v>
      </c>
      <c r="B78" s="16">
        <f>SUM(B79)+B83</f>
        <v>12223.896999999999</v>
      </c>
      <c r="C78" s="16">
        <f>SUM(C79)+C83</f>
        <v>12055.177</v>
      </c>
      <c r="D78" s="16">
        <f>SUM(D79)+D83</f>
        <v>10457.747800000001</v>
      </c>
      <c r="E78" s="17">
        <f t="shared" si="2"/>
        <v>85.55166817914125</v>
      </c>
      <c r="F78" s="17">
        <f t="shared" si="3"/>
        <v>86.74901911436059</v>
      </c>
      <c r="G78" s="63"/>
      <c r="H78" s="63"/>
      <c r="I78" s="63"/>
      <c r="J78" s="63"/>
    </row>
    <row r="79" spans="1:10" s="2" customFormat="1" ht="15">
      <c r="A79" s="28" t="s">
        <v>33</v>
      </c>
      <c r="B79" s="23">
        <f>8440.456-571.501+470.8+119+344.868+89.88</f>
        <v>8893.502999999999</v>
      </c>
      <c r="C79" s="23">
        <v>8724.783</v>
      </c>
      <c r="D79" s="23">
        <f>6661.9743+907.331</f>
        <v>7569.3053</v>
      </c>
      <c r="E79" s="18">
        <f>SUM(D79)/B79*100</f>
        <v>85.11050482582624</v>
      </c>
      <c r="F79" s="18">
        <f>SUM(D79)/C79*100</f>
        <v>86.75637319575742</v>
      </c>
      <c r="G79" s="63"/>
      <c r="H79" s="63"/>
      <c r="I79" s="63"/>
      <c r="J79" s="63"/>
    </row>
    <row r="80" spans="1:10" s="3" customFormat="1" ht="15">
      <c r="A80" s="10" t="s">
        <v>1</v>
      </c>
      <c r="B80" s="9">
        <f>98.3+1977.142+251.502</f>
        <v>2326.944</v>
      </c>
      <c r="C80" s="9">
        <f>98.3+2228.644</f>
        <v>2326.944</v>
      </c>
      <c r="D80" s="9">
        <v>2315.078</v>
      </c>
      <c r="E80" s="18">
        <f t="shared" si="2"/>
        <v>99.49006078358569</v>
      </c>
      <c r="F80" s="18">
        <f t="shared" si="3"/>
        <v>99.49006078358569</v>
      </c>
      <c r="G80" s="62"/>
      <c r="H80" s="62"/>
      <c r="I80" s="62"/>
      <c r="J80" s="62"/>
    </row>
    <row r="81" spans="1:10" s="3" customFormat="1" ht="15">
      <c r="A81" s="10" t="s">
        <v>29</v>
      </c>
      <c r="B81" s="9">
        <f>33.7+716.409+91.083</f>
        <v>841.192</v>
      </c>
      <c r="C81" s="9">
        <f>33.7+713.371+86.7</f>
        <v>833.7710000000001</v>
      </c>
      <c r="D81" s="9">
        <v>803.333</v>
      </c>
      <c r="E81" s="18">
        <f t="shared" si="2"/>
        <v>95.49936280896631</v>
      </c>
      <c r="F81" s="18">
        <f t="shared" si="3"/>
        <v>96.34935731753683</v>
      </c>
      <c r="G81" s="62"/>
      <c r="H81" s="62"/>
      <c r="I81" s="62"/>
      <c r="J81" s="62"/>
    </row>
    <row r="82" spans="1:10" s="3" customFormat="1" ht="15">
      <c r="A82" s="10" t="s">
        <v>13</v>
      </c>
      <c r="B82" s="9">
        <f>SUM(B79)-B80-B81</f>
        <v>5725.366999999999</v>
      </c>
      <c r="C82" s="9">
        <f>SUM(C79)-C80-C81</f>
        <v>5564.068</v>
      </c>
      <c r="D82" s="9">
        <f>SUM(D79)-D80-D81</f>
        <v>4450.894300000001</v>
      </c>
      <c r="E82" s="18">
        <f t="shared" si="2"/>
        <v>77.739895101921</v>
      </c>
      <c r="F82" s="18">
        <f t="shared" si="3"/>
        <v>79.99352811647881</v>
      </c>
      <c r="G82" s="62"/>
      <c r="H82" s="62"/>
      <c r="I82" s="62"/>
      <c r="J82" s="62"/>
    </row>
    <row r="83" spans="1:10" s="3" customFormat="1" ht="15">
      <c r="A83" s="28" t="s">
        <v>14</v>
      </c>
      <c r="B83" s="23">
        <f>3330.394</f>
        <v>3330.394</v>
      </c>
      <c r="C83" s="23">
        <f>3330.394</f>
        <v>3330.394</v>
      </c>
      <c r="D83" s="23">
        <v>2888.4425</v>
      </c>
      <c r="E83" s="18">
        <f t="shared" si="2"/>
        <v>86.72975329645682</v>
      </c>
      <c r="F83" s="18">
        <f t="shared" si="3"/>
        <v>86.72975329645682</v>
      </c>
      <c r="G83" s="62"/>
      <c r="H83" s="62"/>
      <c r="I83" s="62"/>
      <c r="J83" s="62"/>
    </row>
    <row r="84" spans="1:10" s="3" customFormat="1" ht="40.5">
      <c r="A84" s="24" t="s">
        <v>25</v>
      </c>
      <c r="B84" s="16">
        <f>2159.137+16186.092</f>
        <v>18345.229</v>
      </c>
      <c r="C84" s="16">
        <f>2159.137+16186.092</f>
        <v>18345.229</v>
      </c>
      <c r="D84" s="16">
        <f>16186.092+2111.439</f>
        <v>18297.531</v>
      </c>
      <c r="E84" s="17">
        <f t="shared" si="2"/>
        <v>99.73999779452194</v>
      </c>
      <c r="F84" s="17">
        <f t="shared" si="3"/>
        <v>99.73999779452194</v>
      </c>
      <c r="G84" s="62"/>
      <c r="H84" s="62"/>
      <c r="I84" s="62"/>
      <c r="J84" s="62"/>
    </row>
    <row r="85" spans="1:13" s="7" customFormat="1" ht="15.75">
      <c r="A85" s="25" t="s">
        <v>27</v>
      </c>
      <c r="B85" s="26">
        <f>B5+B14+B23+B36+B43+B50+B57+B64+B66+B69+B71+B76+B77+B78+B84</f>
        <v>2526410.7449999996</v>
      </c>
      <c r="C85" s="26">
        <f>C5+C14+C23+C36+C43+C50+C57+C64+C66+C69+C71+C76+C77+C78+C84</f>
        <v>2238526.37799</v>
      </c>
      <c r="D85" s="26">
        <f>D5+D14+D23+D36+D43+D50+D57+D64+D66+D69+D71+D76+D77+D78+D84</f>
        <v>1831068.3440499997</v>
      </c>
      <c r="E85" s="17">
        <f t="shared" si="2"/>
        <v>72.47706445493289</v>
      </c>
      <c r="F85" s="17">
        <f t="shared" si="3"/>
        <v>81.79793466155795</v>
      </c>
      <c r="G85" s="65"/>
      <c r="H85" s="67"/>
      <c r="I85" s="65"/>
      <c r="J85" s="67"/>
      <c r="K85" s="5"/>
      <c r="L85" s="6"/>
      <c r="M85" s="6"/>
    </row>
    <row r="86" spans="1:13" s="7" customFormat="1" ht="15.75">
      <c r="A86" s="15" t="s">
        <v>33</v>
      </c>
      <c r="B86" s="26">
        <f>B6+B15+B24+B37+B44+B51+B58+B67+B72+B79+B77</f>
        <v>2091709.314</v>
      </c>
      <c r="C86" s="26">
        <f>C6+C15+C24+C37+C44+C51+C58+C67+C72+C79+C77</f>
        <v>1810305.51699</v>
      </c>
      <c r="D86" s="26">
        <f>D6+D15+D24+D37+D44+D51+D58+D67+D72+D79+D77</f>
        <v>1550538.6917099997</v>
      </c>
      <c r="E86" s="17">
        <f>SUM(D86)/B86*100</f>
        <v>74.12782843830658</v>
      </c>
      <c r="F86" s="17">
        <f>SUM(D86)/C86*100</f>
        <v>85.65066377790666</v>
      </c>
      <c r="G86" s="65"/>
      <c r="H86" s="67"/>
      <c r="I86" s="65"/>
      <c r="J86" s="67"/>
      <c r="K86" s="5"/>
      <c r="L86" s="6"/>
      <c r="M86" s="6"/>
    </row>
    <row r="87" spans="1:10" s="4" customFormat="1" ht="15">
      <c r="A87" s="27" t="s">
        <v>1</v>
      </c>
      <c r="B87" s="20">
        <f aca="true" t="shared" si="4" ref="B87:D88">B7+B16+B25+B38+B45+B52+B59+B80</f>
        <v>560257.2660000001</v>
      </c>
      <c r="C87" s="20">
        <f t="shared" si="4"/>
        <v>512036.9759999999</v>
      </c>
      <c r="D87" s="20">
        <f t="shared" si="4"/>
        <v>450779.61778999993</v>
      </c>
      <c r="E87" s="17">
        <f t="shared" si="2"/>
        <v>80.4593969853128</v>
      </c>
      <c r="F87" s="17">
        <f t="shared" si="3"/>
        <v>88.03653621100989</v>
      </c>
      <c r="G87" s="66"/>
      <c r="H87" s="66"/>
      <c r="I87" s="66"/>
      <c r="J87" s="66"/>
    </row>
    <row r="88" spans="1:6" ht="15">
      <c r="A88" s="27" t="s">
        <v>30</v>
      </c>
      <c r="B88" s="20">
        <f t="shared" si="4"/>
        <v>202876.56900000005</v>
      </c>
      <c r="C88" s="20">
        <f t="shared" si="4"/>
        <v>185787.8886</v>
      </c>
      <c r="D88" s="20">
        <f t="shared" si="4"/>
        <v>163253.99439</v>
      </c>
      <c r="E88" s="17">
        <f t="shared" si="2"/>
        <v>80.46961519247694</v>
      </c>
      <c r="F88" s="17">
        <f t="shared" si="3"/>
        <v>87.8711715926137</v>
      </c>
    </row>
    <row r="89" spans="1:6" ht="15">
      <c r="A89" s="27" t="s">
        <v>2</v>
      </c>
      <c r="B89" s="20">
        <f>B73+B11+B20+B29+B40+B47+B54+B61+60</f>
        <v>139004.103</v>
      </c>
      <c r="C89" s="20">
        <f>C73+C11+C20+C29+C40+C47+C54+C61+34.5</f>
        <v>218476.15954999998</v>
      </c>
      <c r="D89" s="20">
        <f>D73+D11+D20+D29+D40+D47+D54+D61</f>
        <v>88696.12328</v>
      </c>
      <c r="E89" s="17">
        <f t="shared" si="2"/>
        <v>63.80827714128697</v>
      </c>
      <c r="F89" s="17">
        <f t="shared" si="3"/>
        <v>40.59762102313099</v>
      </c>
    </row>
    <row r="90" spans="1:6" ht="15">
      <c r="A90" s="27" t="s">
        <v>13</v>
      </c>
      <c r="B90" s="20">
        <f>B86-B87-B88-B89</f>
        <v>1189571.3759999997</v>
      </c>
      <c r="C90" s="20">
        <f>C86-C87-C88-C89</f>
        <v>894004.4928400002</v>
      </c>
      <c r="D90" s="20">
        <f>D86-D87-D88-D89</f>
        <v>847808.9562499998</v>
      </c>
      <c r="E90" s="17">
        <f t="shared" si="2"/>
        <v>71.27012076406922</v>
      </c>
      <c r="F90" s="17">
        <f t="shared" si="3"/>
        <v>94.83273999627785</v>
      </c>
    </row>
    <row r="91" spans="1:6" ht="15">
      <c r="A91" s="15" t="s">
        <v>14</v>
      </c>
      <c r="B91" s="16">
        <f>B13+B22+B42+B34+B56+B63+B65+B68+B70+B75+B83+B49</f>
        <v>413856.202</v>
      </c>
      <c r="C91" s="16">
        <f>C13+C22+C42+C34+C56+C63+C65+C68+C70+C75+C83+C49</f>
        <v>408175.63200000004</v>
      </c>
      <c r="D91" s="16">
        <f>D13+D22+D42+D34+D56+D63+D65+D68+D70+D75+D83+D49</f>
        <v>262232.12134</v>
      </c>
      <c r="E91" s="17">
        <f t="shared" si="2"/>
        <v>63.36310053413191</v>
      </c>
      <c r="F91" s="17">
        <f t="shared" si="3"/>
        <v>64.24492320991861</v>
      </c>
    </row>
    <row r="92" spans="1:6" ht="15">
      <c r="A92" s="15" t="s">
        <v>26</v>
      </c>
      <c r="B92" s="16">
        <f>SUM(B84)</f>
        <v>18345.229</v>
      </c>
      <c r="C92" s="16">
        <f>SUM(C84)</f>
        <v>18345.229</v>
      </c>
      <c r="D92" s="16">
        <f>SUM(D84)</f>
        <v>18297.531</v>
      </c>
      <c r="E92" s="17">
        <f t="shared" si="2"/>
        <v>99.73999779452194</v>
      </c>
      <c r="F92" s="17">
        <f t="shared" si="3"/>
        <v>99.73999779452194</v>
      </c>
    </row>
    <row r="93" spans="1:6" ht="15">
      <c r="A93" s="15" t="s">
        <v>32</v>
      </c>
      <c r="B93" s="16">
        <f>SUM(B76)</f>
        <v>2500</v>
      </c>
      <c r="C93" s="16">
        <f>SUM(C76)</f>
        <v>1700</v>
      </c>
      <c r="D93" s="16"/>
      <c r="E93" s="17"/>
      <c r="F93" s="17"/>
    </row>
    <row r="94" ht="15">
      <c r="D94" s="58"/>
    </row>
    <row r="95" ht="15">
      <c r="B95" s="59"/>
    </row>
    <row r="96" ht="15">
      <c r="D96" s="59"/>
    </row>
  </sheetData>
  <sheetProtection/>
  <mergeCells count="7">
    <mergeCell ref="A3:A4"/>
    <mergeCell ref="B3:B4"/>
    <mergeCell ref="C3:C4"/>
    <mergeCell ref="A1:F1"/>
    <mergeCell ref="F3:F4"/>
    <mergeCell ref="E3:E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82">
      <selection activeCell="D4" sqref="D4"/>
    </sheetView>
  </sheetViews>
  <sheetFormatPr defaultColWidth="9.140625" defaultRowHeight="15"/>
  <cols>
    <col min="1" max="1" width="36.140625" style="51" customWidth="1"/>
    <col min="2" max="3" width="17.28125" style="51" customWidth="1"/>
    <col min="4" max="4" width="15.8515625" style="51" customWidth="1"/>
    <col min="5" max="5" width="14.7109375" style="51" customWidth="1"/>
    <col min="6" max="6" width="15.140625" style="51" customWidth="1"/>
    <col min="7" max="16384" width="9.140625" style="51" customWidth="1"/>
  </cols>
  <sheetData>
    <row r="1" spans="1:6" s="29" customFormat="1" ht="34.5" customHeight="1">
      <c r="A1" s="71" t="s">
        <v>71</v>
      </c>
      <c r="B1" s="71"/>
      <c r="C1" s="71"/>
      <c r="D1" s="71"/>
      <c r="E1" s="71"/>
      <c r="F1" s="71"/>
    </row>
    <row r="2" spans="1:6" s="29" customFormat="1" ht="12.75" customHeight="1">
      <c r="A2" s="30"/>
      <c r="B2" s="30"/>
      <c r="C2" s="30"/>
      <c r="D2" s="30"/>
      <c r="E2" s="30"/>
      <c r="F2" s="31"/>
    </row>
    <row r="3" spans="1:6" s="29" customFormat="1" ht="75">
      <c r="A3" s="32"/>
      <c r="B3" s="32" t="s">
        <v>35</v>
      </c>
      <c r="C3" s="32" t="s">
        <v>73</v>
      </c>
      <c r="D3" s="32" t="s">
        <v>76</v>
      </c>
      <c r="E3" s="32" t="s">
        <v>36</v>
      </c>
      <c r="F3" s="32" t="s">
        <v>37</v>
      </c>
    </row>
    <row r="4" spans="1:6" s="29" customFormat="1" ht="15">
      <c r="A4" s="33"/>
      <c r="B4" s="34"/>
      <c r="C4" s="34"/>
      <c r="D4" s="34"/>
      <c r="E4" s="34"/>
      <c r="F4" s="34"/>
    </row>
    <row r="5" spans="1:7" s="37" customFormat="1" ht="14.25">
      <c r="A5" s="35" t="s">
        <v>38</v>
      </c>
      <c r="B5" s="16">
        <f>B6+B13</f>
        <v>597838.184</v>
      </c>
      <c r="C5" s="16">
        <f>C6+C13</f>
        <v>541415.11878</v>
      </c>
      <c r="D5" s="16">
        <f>D6+D13</f>
        <v>456936.16031999997</v>
      </c>
      <c r="E5" s="17">
        <f>SUM(D5)/B5*100</f>
        <v>76.43141113248129</v>
      </c>
      <c r="F5" s="17">
        <f>SUM(D5)/C5*100</f>
        <v>84.39663845177411</v>
      </c>
      <c r="G5" s="36"/>
    </row>
    <row r="6" spans="1:6" s="39" customFormat="1" ht="15">
      <c r="A6" s="38" t="s">
        <v>39</v>
      </c>
      <c r="B6" s="53">
        <f>562310.395+15</f>
        <v>562325.395</v>
      </c>
      <c r="C6" s="23">
        <v>506364.32978</v>
      </c>
      <c r="D6" s="23">
        <v>433144.96637</v>
      </c>
      <c r="E6" s="18">
        <f>SUM(D6)/B6*100</f>
        <v>77.0274595850326</v>
      </c>
      <c r="F6" s="18">
        <f>SUM(D6)/C6*100</f>
        <v>85.54018142592872</v>
      </c>
    </row>
    <row r="7" spans="1:6" s="39" customFormat="1" ht="15">
      <c r="A7" s="40" t="s">
        <v>40</v>
      </c>
      <c r="B7" s="9">
        <f>312527.163</f>
        <v>312527.163</v>
      </c>
      <c r="C7" s="9">
        <v>285779.276</v>
      </c>
      <c r="D7" s="9">
        <v>250419.35918</v>
      </c>
      <c r="E7" s="18">
        <f aca="true" t="shared" si="0" ref="E7:E73">SUM(D7)/B7*100</f>
        <v>80.12723015055174</v>
      </c>
      <c r="F7" s="18">
        <f aca="true" t="shared" si="1" ref="F7:F73">SUM(D7)/C7*100</f>
        <v>87.626843585397</v>
      </c>
    </row>
    <row r="8" spans="1:6" s="39" customFormat="1" ht="15">
      <c r="A8" s="40" t="s">
        <v>41</v>
      </c>
      <c r="B8" s="9">
        <v>113569.19</v>
      </c>
      <c r="C8" s="9">
        <v>103994.549</v>
      </c>
      <c r="D8" s="9">
        <v>91542.67367</v>
      </c>
      <c r="E8" s="18">
        <f t="shared" si="0"/>
        <v>80.60520082075077</v>
      </c>
      <c r="F8" s="18">
        <f t="shared" si="1"/>
        <v>88.02641537490585</v>
      </c>
    </row>
    <row r="9" spans="1:6" s="39" customFormat="1" ht="15">
      <c r="A9" s="40" t="s">
        <v>42</v>
      </c>
      <c r="B9" s="9">
        <v>73.087</v>
      </c>
      <c r="C9" s="9">
        <v>73.087</v>
      </c>
      <c r="D9" s="9">
        <v>72.45466</v>
      </c>
      <c r="E9" s="18">
        <f t="shared" si="0"/>
        <v>99.13481193645929</v>
      </c>
      <c r="F9" s="18"/>
    </row>
    <row r="10" spans="1:6" s="39" customFormat="1" ht="15">
      <c r="A10" s="40" t="s">
        <v>43</v>
      </c>
      <c r="B10" s="9">
        <v>33349.211</v>
      </c>
      <c r="C10" s="9">
        <v>28481.877</v>
      </c>
      <c r="D10" s="9">
        <v>23286.6606</v>
      </c>
      <c r="E10" s="18">
        <f t="shared" si="0"/>
        <v>69.82672123787276</v>
      </c>
      <c r="F10" s="18">
        <f t="shared" si="1"/>
        <v>81.75957153385642</v>
      </c>
    </row>
    <row r="11" spans="1:6" s="39" customFormat="1" ht="30">
      <c r="A11" s="40" t="s">
        <v>44</v>
      </c>
      <c r="B11" s="9">
        <v>78527.174</v>
      </c>
      <c r="C11" s="9">
        <v>64475.829</v>
      </c>
      <c r="D11" s="9">
        <v>49843.42807</v>
      </c>
      <c r="E11" s="18">
        <f t="shared" si="0"/>
        <v>63.472840713712685</v>
      </c>
      <c r="F11" s="18">
        <f t="shared" si="1"/>
        <v>77.30560249174928</v>
      </c>
    </row>
    <row r="12" spans="1:6" s="39" customFormat="1" ht="15">
      <c r="A12" s="40" t="s">
        <v>45</v>
      </c>
      <c r="B12" s="9">
        <f>SUM(B6)-B7-B8-B9-B10-B11</f>
        <v>24279.570000000007</v>
      </c>
      <c r="C12" s="9">
        <f>SUM(C6)-C7-C8-C9-C10-C11</f>
        <v>23559.711779999954</v>
      </c>
      <c r="D12" s="9">
        <f>SUM(D6)-D7-D8-D9-D10-D11</f>
        <v>17980.39018999997</v>
      </c>
      <c r="E12" s="18">
        <f t="shared" si="0"/>
        <v>74.055636858478</v>
      </c>
      <c r="F12" s="18">
        <f t="shared" si="1"/>
        <v>76.31837926499458</v>
      </c>
    </row>
    <row r="13" spans="1:6" s="39" customFormat="1" ht="15">
      <c r="A13" s="38" t="s">
        <v>46</v>
      </c>
      <c r="B13" s="56">
        <f>16516.755+17001.334+5+615.08+1374.62</f>
        <v>35512.789000000004</v>
      </c>
      <c r="C13" s="23">
        <v>35050.789</v>
      </c>
      <c r="D13" s="23">
        <v>23791.19395</v>
      </c>
      <c r="E13" s="18">
        <f t="shared" si="0"/>
        <v>66.99331316951759</v>
      </c>
      <c r="F13" s="18">
        <f t="shared" si="1"/>
        <v>67.87634352539112</v>
      </c>
    </row>
    <row r="14" spans="1:6" s="37" customFormat="1" ht="14.25">
      <c r="A14" s="35" t="s">
        <v>47</v>
      </c>
      <c r="B14" s="16">
        <f>B15+B22</f>
        <v>373273.95</v>
      </c>
      <c r="C14" s="16">
        <f>C15+C22</f>
        <v>344544.11655999994</v>
      </c>
      <c r="D14" s="16">
        <f>D15+D22</f>
        <v>293862.01886999997</v>
      </c>
      <c r="E14" s="17">
        <f t="shared" si="0"/>
        <v>78.7255630536232</v>
      </c>
      <c r="F14" s="17">
        <f t="shared" si="1"/>
        <v>85.29009921979787</v>
      </c>
    </row>
    <row r="15" spans="1:6" s="39" customFormat="1" ht="15">
      <c r="A15" s="38" t="s">
        <v>48</v>
      </c>
      <c r="B15" s="23">
        <f>327920.177+25068</f>
        <v>352988.177</v>
      </c>
      <c r="C15" s="23">
        <f>301269.02056+22989.323</f>
        <v>324258.34355999995</v>
      </c>
      <c r="D15" s="23">
        <f>256113.4662+20910.646</f>
        <v>277024.1122</v>
      </c>
      <c r="E15" s="18">
        <f>SUM(D15)/B15*100</f>
        <v>78.47971412368294</v>
      </c>
      <c r="F15" s="18">
        <f>SUM(D15)/C15*100</f>
        <v>85.43314850701448</v>
      </c>
    </row>
    <row r="16" spans="1:6" s="39" customFormat="1" ht="15">
      <c r="A16" s="40" t="s">
        <v>40</v>
      </c>
      <c r="B16" s="9">
        <v>138388.382</v>
      </c>
      <c r="C16" s="9">
        <v>127072.752</v>
      </c>
      <c r="D16" s="9">
        <v>112362.21109</v>
      </c>
      <c r="E16" s="18">
        <f t="shared" si="0"/>
        <v>81.19338449234849</v>
      </c>
      <c r="F16" s="18">
        <f t="shared" si="1"/>
        <v>88.42352850751199</v>
      </c>
    </row>
    <row r="17" spans="1:6" s="39" customFormat="1" ht="15">
      <c r="A17" s="40" t="s">
        <v>41</v>
      </c>
      <c r="B17" s="9">
        <v>49741.847</v>
      </c>
      <c r="C17" s="9">
        <v>45775.1146</v>
      </c>
      <c r="D17" s="9">
        <v>39896.43508</v>
      </c>
      <c r="E17" s="18">
        <f t="shared" si="0"/>
        <v>80.206983628895</v>
      </c>
      <c r="F17" s="18">
        <f t="shared" si="1"/>
        <v>87.15747722016627</v>
      </c>
    </row>
    <row r="18" spans="1:6" s="39" customFormat="1" ht="15">
      <c r="A18" s="40" t="s">
        <v>42</v>
      </c>
      <c r="B18" s="56">
        <v>11580.269</v>
      </c>
      <c r="C18" s="9">
        <v>10812.9697</v>
      </c>
      <c r="D18" s="9">
        <v>9928.07677</v>
      </c>
      <c r="E18" s="18">
        <f t="shared" si="0"/>
        <v>85.73269558764135</v>
      </c>
      <c r="F18" s="18">
        <f t="shared" si="1"/>
        <v>91.81637464497842</v>
      </c>
    </row>
    <row r="19" spans="1:6" s="39" customFormat="1" ht="15">
      <c r="A19" s="40" t="s">
        <v>43</v>
      </c>
      <c r="B19" s="9">
        <v>4056.884</v>
      </c>
      <c r="C19" s="9">
        <v>3737.85</v>
      </c>
      <c r="D19" s="9">
        <v>3359.96583</v>
      </c>
      <c r="E19" s="18">
        <f t="shared" si="0"/>
        <v>82.82134342515093</v>
      </c>
      <c r="F19" s="18">
        <f t="shared" si="1"/>
        <v>89.89033348047674</v>
      </c>
    </row>
    <row r="20" spans="1:6" s="39" customFormat="1" ht="30">
      <c r="A20" s="40" t="s">
        <v>44</v>
      </c>
      <c r="B20" s="9">
        <v>30224.41</v>
      </c>
      <c r="C20" s="9">
        <v>1219.85255</v>
      </c>
      <c r="D20" s="9">
        <v>18567.07326</v>
      </c>
      <c r="E20" s="18">
        <f t="shared" si="0"/>
        <v>61.430721923107846</v>
      </c>
      <c r="F20" s="18">
        <f t="shared" si="1"/>
        <v>1522.0752098276141</v>
      </c>
    </row>
    <row r="21" spans="1:6" s="39" customFormat="1" ht="15">
      <c r="A21" s="40" t="s">
        <v>45</v>
      </c>
      <c r="B21" s="9">
        <f>SUM(B15)-B16-B17-B18-B19-B20</f>
        <v>118996.38500000001</v>
      </c>
      <c r="C21" s="9">
        <f>SUM(C15)-C16-C17-C18-C19-C20</f>
        <v>135639.80470999997</v>
      </c>
      <c r="D21" s="9">
        <f>SUM(D15)-D16-D17-D18-D19-D20</f>
        <v>92910.35016999998</v>
      </c>
      <c r="E21" s="18">
        <f t="shared" si="0"/>
        <v>78.07829638690282</v>
      </c>
      <c r="F21" s="18">
        <f t="shared" si="1"/>
        <v>68.49785014704479</v>
      </c>
    </row>
    <row r="22" spans="1:6" s="39" customFormat="1" ht="15">
      <c r="A22" s="38" t="s">
        <v>46</v>
      </c>
      <c r="B22" s="23">
        <f>11416.945+8868.828</f>
        <v>20285.773</v>
      </c>
      <c r="C22" s="23">
        <f>8868.828+11416.945</f>
        <v>20285.773</v>
      </c>
      <c r="D22" s="23">
        <v>16837.90667</v>
      </c>
      <c r="E22" s="18">
        <f t="shared" si="0"/>
        <v>83.00352503205079</v>
      </c>
      <c r="F22" s="18">
        <f t="shared" si="1"/>
        <v>83.00352503205079</v>
      </c>
    </row>
    <row r="23" spans="1:6" s="37" customFormat="1" ht="28.5">
      <c r="A23" s="35" t="s">
        <v>64</v>
      </c>
      <c r="B23" s="16">
        <f>B24+B34</f>
        <v>700089.562</v>
      </c>
      <c r="C23" s="16">
        <f>C24+C34</f>
        <v>539977.6579999999</v>
      </c>
      <c r="D23" s="16">
        <f>D24+D34</f>
        <v>478419.461</v>
      </c>
      <c r="E23" s="17">
        <f t="shared" si="0"/>
        <v>68.33689387301564</v>
      </c>
      <c r="F23" s="17">
        <f t="shared" si="1"/>
        <v>88.59986221874388</v>
      </c>
    </row>
    <row r="24" spans="1:6" s="39" customFormat="1" ht="15">
      <c r="A24" s="38" t="s">
        <v>48</v>
      </c>
      <c r="B24" s="23">
        <v>696905.234</v>
      </c>
      <c r="C24" s="23">
        <v>536843.565</v>
      </c>
      <c r="D24" s="23">
        <v>477308.21</v>
      </c>
      <c r="E24" s="18">
        <f>SUM(D24)/B24*100</f>
        <v>68.48968650449252</v>
      </c>
      <c r="F24" s="18">
        <f>SUM(D24)/C24*100</f>
        <v>88.91011108608521</v>
      </c>
    </row>
    <row r="25" spans="1:6" s="39" customFormat="1" ht="15">
      <c r="A25" s="40" t="s">
        <v>40</v>
      </c>
      <c r="B25" s="9">
        <v>11580.045</v>
      </c>
      <c r="C25" s="9">
        <v>10335.523</v>
      </c>
      <c r="D25" s="9">
        <v>9245.697</v>
      </c>
      <c r="E25" s="18">
        <f t="shared" si="0"/>
        <v>79.84163273976914</v>
      </c>
      <c r="F25" s="18">
        <f t="shared" si="1"/>
        <v>89.45553118115069</v>
      </c>
    </row>
    <row r="26" spans="1:6" s="39" customFormat="1" ht="15">
      <c r="A26" s="40" t="s">
        <v>41</v>
      </c>
      <c r="B26" s="9">
        <v>4156.328</v>
      </c>
      <c r="C26" s="9">
        <v>3722.499</v>
      </c>
      <c r="D26" s="9">
        <v>3327.331</v>
      </c>
      <c r="E26" s="18">
        <f t="shared" si="0"/>
        <v>80.05458183281011</v>
      </c>
      <c r="F26" s="18">
        <f t="shared" si="1"/>
        <v>89.38433563044612</v>
      </c>
    </row>
    <row r="27" spans="1:6" s="39" customFormat="1" ht="15">
      <c r="A27" s="40" t="s">
        <v>42</v>
      </c>
      <c r="B27" s="9">
        <v>77.62</v>
      </c>
      <c r="C27" s="9">
        <v>76.38</v>
      </c>
      <c r="D27" s="9">
        <v>75.58</v>
      </c>
      <c r="E27" s="18">
        <f t="shared" si="0"/>
        <v>97.3718113888173</v>
      </c>
      <c r="F27" s="18">
        <f t="shared" si="1"/>
        <v>98.95260539408223</v>
      </c>
    </row>
    <row r="28" spans="1:6" s="39" customFormat="1" ht="15">
      <c r="A28" s="40" t="s">
        <v>43</v>
      </c>
      <c r="B28" s="9">
        <v>138.829</v>
      </c>
      <c r="C28" s="9">
        <v>132.1</v>
      </c>
      <c r="D28" s="9">
        <v>125.201</v>
      </c>
      <c r="E28" s="18">
        <f t="shared" si="0"/>
        <v>90.1836071714123</v>
      </c>
      <c r="F28" s="18">
        <f t="shared" si="1"/>
        <v>94.777441332324</v>
      </c>
    </row>
    <row r="29" spans="1:6" s="39" customFormat="1" ht="30">
      <c r="A29" s="40" t="s">
        <v>44</v>
      </c>
      <c r="B29" s="9">
        <v>1150.295</v>
      </c>
      <c r="C29" s="9">
        <v>930.457</v>
      </c>
      <c r="D29" s="9">
        <v>712.487</v>
      </c>
      <c r="E29" s="18">
        <f t="shared" si="0"/>
        <v>61.939502475451945</v>
      </c>
      <c r="F29" s="18">
        <f t="shared" si="1"/>
        <v>76.57387713779357</v>
      </c>
    </row>
    <row r="30" spans="1:6" s="39" customFormat="1" ht="15">
      <c r="A30" s="40" t="s">
        <v>45</v>
      </c>
      <c r="B30" s="9">
        <f>SUM(B24)-B25-B26-B27-B28-B29</f>
        <v>679802.117</v>
      </c>
      <c r="C30" s="9">
        <f>SUM(C24)-C25-C26-C27-C28-C29</f>
        <v>521646.6059999999</v>
      </c>
      <c r="D30" s="9">
        <f>SUM(D24)-D25-D26-D27-D28-D29</f>
        <v>463821.914</v>
      </c>
      <c r="E30" s="18">
        <f t="shared" si="0"/>
        <v>68.22895992834927</v>
      </c>
      <c r="F30" s="18">
        <f t="shared" si="1"/>
        <v>88.91496823042688</v>
      </c>
    </row>
    <row r="31" spans="1:6" s="39" customFormat="1" ht="15">
      <c r="A31" s="40" t="s">
        <v>49</v>
      </c>
      <c r="B31" s="9">
        <f>SUM(B32:B33)</f>
        <v>664987.23</v>
      </c>
      <c r="C31" s="9">
        <f>SUM(C32:C33)</f>
        <v>507454.759</v>
      </c>
      <c r="D31" s="9">
        <f>SUM(D32:D33)</f>
        <v>451626.967</v>
      </c>
      <c r="E31" s="18">
        <f>SUM(D31)/B31*100</f>
        <v>67.91513379888514</v>
      </c>
      <c r="F31" s="18">
        <f>SUM(D31)/C31*100</f>
        <v>88.9984691226435</v>
      </c>
    </row>
    <row r="32" spans="1:6" s="39" customFormat="1" ht="30">
      <c r="A32" s="41" t="s">
        <v>70</v>
      </c>
      <c r="B32" s="9">
        <v>431369.7</v>
      </c>
      <c r="C32" s="9">
        <v>390327.851</v>
      </c>
      <c r="D32" s="9">
        <v>371808.686</v>
      </c>
      <c r="E32" s="18">
        <f>SUM(D32)/B32*100</f>
        <v>86.19258283555845</v>
      </c>
      <c r="F32" s="18">
        <f>SUM(D32)/C32*100</f>
        <v>95.25548460030335</v>
      </c>
    </row>
    <row r="33" spans="1:6" s="39" customFormat="1" ht="15">
      <c r="A33" s="41" t="s">
        <v>65</v>
      </c>
      <c r="B33" s="9">
        <v>233617.53</v>
      </c>
      <c r="C33" s="9">
        <v>117126.908</v>
      </c>
      <c r="D33" s="9">
        <v>79818.281</v>
      </c>
      <c r="E33" s="18">
        <f>SUM(D33)/B33*100</f>
        <v>34.16622074550656</v>
      </c>
      <c r="F33" s="18">
        <f>SUM(D33)/C33*100</f>
        <v>68.14683522594143</v>
      </c>
    </row>
    <row r="34" spans="1:6" s="39" customFormat="1" ht="15">
      <c r="A34" s="38" t="s">
        <v>46</v>
      </c>
      <c r="B34" s="23">
        <v>3184.328</v>
      </c>
      <c r="C34" s="23">
        <v>3134.093</v>
      </c>
      <c r="D34" s="23">
        <v>1111.251</v>
      </c>
      <c r="E34" s="18">
        <f>SUM(D34)/B34*100</f>
        <v>34.89750427719758</v>
      </c>
      <c r="F34" s="18">
        <f>SUM(D34)/C34*100</f>
        <v>35.45686104400858</v>
      </c>
    </row>
    <row r="35" spans="1:6" s="39" customFormat="1" ht="15">
      <c r="A35" s="40" t="s">
        <v>69</v>
      </c>
      <c r="B35" s="9">
        <v>156.528</v>
      </c>
      <c r="C35" s="9">
        <v>106.293</v>
      </c>
      <c r="D35" s="9">
        <v>58.293</v>
      </c>
      <c r="E35" s="18">
        <f>SUM(D35)/B35*100</f>
        <v>37.24126034958602</v>
      </c>
      <c r="F35" s="18">
        <f>SUM(D35)/C35*100</f>
        <v>54.841805198837164</v>
      </c>
    </row>
    <row r="36" spans="1:6" s="37" customFormat="1" ht="14.25">
      <c r="A36" s="35" t="s">
        <v>66</v>
      </c>
      <c r="B36" s="16">
        <f>B37+B42</f>
        <v>96866.24799999999</v>
      </c>
      <c r="C36" s="16">
        <f>C37+C42</f>
        <v>88493.135</v>
      </c>
      <c r="D36" s="16">
        <f>D37+D42</f>
        <v>69231.18227</v>
      </c>
      <c r="E36" s="17">
        <f t="shared" si="0"/>
        <v>71.47090312613328</v>
      </c>
      <c r="F36" s="17">
        <f t="shared" si="1"/>
        <v>78.23339321180113</v>
      </c>
    </row>
    <row r="37" spans="1:6" s="39" customFormat="1" ht="15">
      <c r="A37" s="38" t="s">
        <v>48</v>
      </c>
      <c r="B37" s="23">
        <v>77949.817</v>
      </c>
      <c r="C37" s="23">
        <v>69776.704</v>
      </c>
      <c r="D37" s="23">
        <v>59575.27296</v>
      </c>
      <c r="E37" s="18">
        <f>SUM(D37)/B37*100</f>
        <v>76.42772652051256</v>
      </c>
      <c r="F37" s="18">
        <f>SUM(D37)/C37*100</f>
        <v>85.37988976951391</v>
      </c>
    </row>
    <row r="38" spans="1:6" s="39" customFormat="1" ht="15">
      <c r="A38" s="40" t="s">
        <v>40</v>
      </c>
      <c r="B38" s="9">
        <v>33097.391</v>
      </c>
      <c r="C38" s="9">
        <v>30186.763</v>
      </c>
      <c r="D38" s="9">
        <v>26559.45887</v>
      </c>
      <c r="E38" s="18">
        <f t="shared" si="0"/>
        <v>80.24638216951902</v>
      </c>
      <c r="F38" s="18">
        <f t="shared" si="1"/>
        <v>87.98379233308322</v>
      </c>
    </row>
    <row r="39" spans="1:6" s="39" customFormat="1" ht="15">
      <c r="A39" s="40" t="s">
        <v>41</v>
      </c>
      <c r="B39" s="9">
        <v>12086.354</v>
      </c>
      <c r="C39" s="9">
        <v>11045.253</v>
      </c>
      <c r="D39" s="9">
        <v>9685.60301</v>
      </c>
      <c r="E39" s="18">
        <f t="shared" si="0"/>
        <v>80.13668150047567</v>
      </c>
      <c r="F39" s="18">
        <f t="shared" si="1"/>
        <v>87.69018699707468</v>
      </c>
    </row>
    <row r="40" spans="1:6" s="39" customFormat="1" ht="30">
      <c r="A40" s="40" t="s">
        <v>44</v>
      </c>
      <c r="B40" s="9">
        <v>5631.026</v>
      </c>
      <c r="C40" s="9">
        <v>4417.978</v>
      </c>
      <c r="D40" s="9">
        <v>3324.53061</v>
      </c>
      <c r="E40" s="18">
        <f t="shared" si="0"/>
        <v>59.03951802033946</v>
      </c>
      <c r="F40" s="18">
        <f t="shared" si="1"/>
        <v>75.25004900431827</v>
      </c>
    </row>
    <row r="41" spans="1:6" s="39" customFormat="1" ht="15">
      <c r="A41" s="40" t="s">
        <v>45</v>
      </c>
      <c r="B41" s="9">
        <f>SUM(B37)-B38-B39-B40</f>
        <v>27135.045999999995</v>
      </c>
      <c r="C41" s="9">
        <f>SUM(C37)-C38-C39-C40</f>
        <v>24126.71</v>
      </c>
      <c r="D41" s="9">
        <f>SUM(D37)-D38-D39-D40</f>
        <v>20005.68047</v>
      </c>
      <c r="E41" s="18">
        <f t="shared" si="0"/>
        <v>73.72635546665373</v>
      </c>
      <c r="F41" s="18">
        <f t="shared" si="1"/>
        <v>82.91922301051407</v>
      </c>
    </row>
    <row r="42" spans="1:6" s="39" customFormat="1" ht="15">
      <c r="A42" s="38" t="s">
        <v>46</v>
      </c>
      <c r="B42" s="23">
        <f>8951+9965.431</f>
        <v>18916.431</v>
      </c>
      <c r="C42" s="23">
        <v>18716.431</v>
      </c>
      <c r="D42" s="23">
        <v>9655.90931</v>
      </c>
      <c r="E42" s="18">
        <f t="shared" si="0"/>
        <v>51.045090429584725</v>
      </c>
      <c r="F42" s="18">
        <f t="shared" si="1"/>
        <v>51.59054795222443</v>
      </c>
    </row>
    <row r="43" spans="1:6" s="37" customFormat="1" ht="14.25">
      <c r="A43" s="35" t="s">
        <v>67</v>
      </c>
      <c r="B43" s="16">
        <f>B44+B49</f>
        <v>45876.041</v>
      </c>
      <c r="C43" s="16">
        <f>C44+C49</f>
        <v>41854.769</v>
      </c>
      <c r="D43" s="16">
        <f>D44+D49</f>
        <v>34907.78185</v>
      </c>
      <c r="E43" s="17">
        <f t="shared" si="0"/>
        <v>76.09153076221202</v>
      </c>
      <c r="F43" s="17">
        <f t="shared" si="1"/>
        <v>83.40216105361853</v>
      </c>
    </row>
    <row r="44" spans="1:6" s="39" customFormat="1" ht="15">
      <c r="A44" s="38" t="s">
        <v>48</v>
      </c>
      <c r="B44" s="23">
        <v>40360.364</v>
      </c>
      <c r="C44" s="23">
        <v>36339.092</v>
      </c>
      <c r="D44" s="23">
        <v>31192.99467</v>
      </c>
      <c r="E44" s="18">
        <f>SUM(D44)/B44*100</f>
        <v>77.28620750298487</v>
      </c>
      <c r="F44" s="18">
        <f>SUM(D44)/C44*100</f>
        <v>85.83867387220353</v>
      </c>
    </row>
    <row r="45" spans="1:6" s="39" customFormat="1" ht="15">
      <c r="A45" s="40" t="s">
        <v>40</v>
      </c>
      <c r="B45" s="9">
        <v>20371.66</v>
      </c>
      <c r="C45" s="9">
        <v>18397.533</v>
      </c>
      <c r="D45" s="9">
        <v>16036.48337</v>
      </c>
      <c r="E45" s="18">
        <f t="shared" si="0"/>
        <v>78.71957106097392</v>
      </c>
      <c r="F45" s="18">
        <f t="shared" si="1"/>
        <v>87.1664878655198</v>
      </c>
    </row>
    <row r="46" spans="1:6" s="39" customFormat="1" ht="15">
      <c r="A46" s="40" t="s">
        <v>41</v>
      </c>
      <c r="B46" s="9">
        <v>7318.765</v>
      </c>
      <c r="C46" s="9">
        <v>6611.967</v>
      </c>
      <c r="D46" s="9">
        <v>5770.67297</v>
      </c>
      <c r="E46" s="18">
        <f t="shared" si="0"/>
        <v>78.84763303644809</v>
      </c>
      <c r="F46" s="18">
        <f t="shared" si="1"/>
        <v>87.27619133610315</v>
      </c>
    </row>
    <row r="47" spans="1:6" s="39" customFormat="1" ht="30">
      <c r="A47" s="40" t="s">
        <v>44</v>
      </c>
      <c r="B47" s="9">
        <v>3303.442</v>
      </c>
      <c r="C47" s="9">
        <v>2684.241</v>
      </c>
      <c r="D47" s="9">
        <v>1888.4225</v>
      </c>
      <c r="E47" s="18">
        <f t="shared" si="0"/>
        <v>57.16529910317784</v>
      </c>
      <c r="F47" s="18">
        <f t="shared" si="1"/>
        <v>70.35219639369193</v>
      </c>
    </row>
    <row r="48" spans="1:6" s="39" customFormat="1" ht="15">
      <c r="A48" s="40" t="s">
        <v>45</v>
      </c>
      <c r="B48" s="9">
        <f>SUM(B44)-B45-B46-B47</f>
        <v>9366.497000000003</v>
      </c>
      <c r="C48" s="9">
        <f>SUM(C44)-C45-C46-C47</f>
        <v>8645.350999999997</v>
      </c>
      <c r="D48" s="9">
        <f>SUM(D44)-D45-D46-D47</f>
        <v>7497.415830000001</v>
      </c>
      <c r="E48" s="18">
        <f t="shared" si="0"/>
        <v>80.04503529974973</v>
      </c>
      <c r="F48" s="18">
        <f t="shared" si="1"/>
        <v>86.72193679585715</v>
      </c>
    </row>
    <row r="49" spans="1:6" s="39" customFormat="1" ht="15">
      <c r="A49" s="38" t="s">
        <v>46</v>
      </c>
      <c r="B49" s="23">
        <f>2828.9+2686.777</f>
        <v>5515.677</v>
      </c>
      <c r="C49" s="23">
        <v>5515.677</v>
      </c>
      <c r="D49" s="23">
        <v>3714.78718</v>
      </c>
      <c r="E49" s="18">
        <f t="shared" si="0"/>
        <v>67.34961419967122</v>
      </c>
      <c r="F49" s="18">
        <f t="shared" si="1"/>
        <v>67.34961419967122</v>
      </c>
    </row>
    <row r="50" spans="1:6" s="39" customFormat="1" ht="14.25">
      <c r="A50" s="35" t="s">
        <v>50</v>
      </c>
      <c r="B50" s="16">
        <f>B51+B56</f>
        <v>79111.3</v>
      </c>
      <c r="C50" s="16">
        <f>C51+C56</f>
        <v>72223.599</v>
      </c>
      <c r="D50" s="16">
        <f>D51+D56</f>
        <v>61875.259959999996</v>
      </c>
      <c r="E50" s="17">
        <f t="shared" si="0"/>
        <v>78.21292275566195</v>
      </c>
      <c r="F50" s="17">
        <f t="shared" si="1"/>
        <v>85.67180369950825</v>
      </c>
    </row>
    <row r="51" spans="1:6" s="39" customFormat="1" ht="15">
      <c r="A51" s="38" t="s">
        <v>48</v>
      </c>
      <c r="B51" s="23">
        <f>74795.85-89.88</f>
        <v>74705.97</v>
      </c>
      <c r="C51" s="23">
        <v>67818.269</v>
      </c>
      <c r="D51" s="23">
        <v>59027.85746</v>
      </c>
      <c r="E51" s="18">
        <f>SUM(D51)/B51*100</f>
        <v>79.01357476517606</v>
      </c>
      <c r="F51" s="18">
        <f>SUM(D51)/C51*100</f>
        <v>87.03828382880135</v>
      </c>
    </row>
    <row r="52" spans="1:6" s="39" customFormat="1" ht="15">
      <c r="A52" s="40" t="s">
        <v>40</v>
      </c>
      <c r="B52" s="9">
        <v>41542.044</v>
      </c>
      <c r="C52" s="9">
        <v>37527.34</v>
      </c>
      <c r="D52" s="9">
        <v>33504.57993</v>
      </c>
      <c r="E52" s="18">
        <f t="shared" si="0"/>
        <v>80.65221809981232</v>
      </c>
      <c r="F52" s="18">
        <f t="shared" si="1"/>
        <v>89.2804550762191</v>
      </c>
    </row>
    <row r="53" spans="1:6" s="39" customFormat="1" ht="15">
      <c r="A53" s="40" t="s">
        <v>41</v>
      </c>
      <c r="B53" s="9">
        <v>15008.932</v>
      </c>
      <c r="C53" s="9">
        <v>13655.424</v>
      </c>
      <c r="D53" s="9">
        <v>12108.30974</v>
      </c>
      <c r="E53" s="18">
        <f t="shared" si="0"/>
        <v>80.67402623984171</v>
      </c>
      <c r="F53" s="18">
        <f t="shared" si="1"/>
        <v>88.67033158399182</v>
      </c>
    </row>
    <row r="54" spans="1:6" s="39" customFormat="1" ht="30">
      <c r="A54" s="40" t="s">
        <v>44</v>
      </c>
      <c r="B54" s="9">
        <v>4210.676</v>
      </c>
      <c r="C54" s="9">
        <v>3554.652</v>
      </c>
      <c r="D54" s="9">
        <v>2601.33353</v>
      </c>
      <c r="E54" s="18">
        <f t="shared" si="0"/>
        <v>61.779475077160996</v>
      </c>
      <c r="F54" s="18">
        <f t="shared" si="1"/>
        <v>73.18110267896829</v>
      </c>
    </row>
    <row r="55" spans="1:6" s="39" customFormat="1" ht="15">
      <c r="A55" s="40" t="s">
        <v>45</v>
      </c>
      <c r="B55" s="9">
        <f>SUM(B51)-B52-B53-B54</f>
        <v>13944.318</v>
      </c>
      <c r="C55" s="9">
        <f>SUM(C51)-C52-C53-C54</f>
        <v>13080.853000000005</v>
      </c>
      <c r="D55" s="9">
        <f>SUM(D51)-D52-D53-D54</f>
        <v>10813.634259999999</v>
      </c>
      <c r="E55" s="18">
        <f t="shared" si="0"/>
        <v>77.54867796331094</v>
      </c>
      <c r="F55" s="18">
        <f t="shared" si="1"/>
        <v>82.6676537072926</v>
      </c>
    </row>
    <row r="56" spans="1:6" s="39" customFormat="1" ht="15">
      <c r="A56" s="38" t="s">
        <v>46</v>
      </c>
      <c r="B56" s="23">
        <f>200+4205.33</f>
        <v>4405.33</v>
      </c>
      <c r="C56" s="23">
        <f>200+4205.33</f>
        <v>4405.33</v>
      </c>
      <c r="D56" s="23">
        <v>2847.4025</v>
      </c>
      <c r="E56" s="18">
        <f t="shared" si="0"/>
        <v>64.63539621322353</v>
      </c>
      <c r="F56" s="18">
        <f t="shared" si="1"/>
        <v>64.63539621322353</v>
      </c>
    </row>
    <row r="57" spans="1:6" s="39" customFormat="1" ht="28.5">
      <c r="A57" s="19" t="s">
        <v>51</v>
      </c>
      <c r="B57" s="20">
        <f>B58+B63</f>
        <v>294043.634</v>
      </c>
      <c r="C57" s="20">
        <f>C58+C63</f>
        <v>281012.653</v>
      </c>
      <c r="D57" s="20">
        <f>D58+D63</f>
        <v>200316.35004000002</v>
      </c>
      <c r="E57" s="17">
        <f t="shared" si="0"/>
        <v>68.12470221341368</v>
      </c>
      <c r="F57" s="17">
        <f t="shared" si="1"/>
        <v>71.28374751154</v>
      </c>
    </row>
    <row r="58" spans="1:6" s="39" customFormat="1" ht="15">
      <c r="A58" s="38" t="s">
        <v>48</v>
      </c>
      <c r="B58" s="23">
        <f>158681.628+35861.8-500</f>
        <v>194043.428</v>
      </c>
      <c r="C58" s="23">
        <f>149379.647+31632.8</f>
        <v>181012.447</v>
      </c>
      <c r="D58" s="23">
        <f>124361.18762+10791.2016</f>
        <v>135152.38922</v>
      </c>
      <c r="E58" s="18">
        <f>SUM(D58)/B58*100</f>
        <v>69.65058833118533</v>
      </c>
      <c r="F58" s="18">
        <f>SUM(D58)/C58*100</f>
        <v>74.66469375998216</v>
      </c>
    </row>
    <row r="59" spans="1:6" s="39" customFormat="1" ht="15">
      <c r="A59" s="40" t="s">
        <v>40</v>
      </c>
      <c r="B59" s="9">
        <v>423.637</v>
      </c>
      <c r="C59" s="9">
        <v>410.845</v>
      </c>
      <c r="D59" s="9">
        <v>336.75035</v>
      </c>
      <c r="E59" s="18">
        <f t="shared" si="0"/>
        <v>79.49030655962534</v>
      </c>
      <c r="F59" s="18">
        <f t="shared" si="1"/>
        <v>81.96530321654151</v>
      </c>
    </row>
    <row r="60" spans="1:6" s="39" customFormat="1" ht="15">
      <c r="A60" s="40" t="s">
        <v>41</v>
      </c>
      <c r="B60" s="9">
        <v>153.961</v>
      </c>
      <c r="C60" s="9">
        <v>149.311</v>
      </c>
      <c r="D60" s="9">
        <v>119.63592</v>
      </c>
      <c r="E60" s="18">
        <f t="shared" si="0"/>
        <v>77.70534096297114</v>
      </c>
      <c r="F60" s="18">
        <f t="shared" si="1"/>
        <v>80.12532231382818</v>
      </c>
    </row>
    <row r="61" spans="1:6" s="39" customFormat="1" ht="30">
      <c r="A61" s="40" t="s">
        <v>44</v>
      </c>
      <c r="B61" s="9">
        <v>15891.008</v>
      </c>
      <c r="C61" s="9">
        <v>141153.278</v>
      </c>
      <c r="D61" s="9">
        <v>11757.35831</v>
      </c>
      <c r="E61" s="18">
        <f t="shared" si="0"/>
        <v>73.9874922346021</v>
      </c>
      <c r="F61" s="18">
        <f t="shared" si="1"/>
        <v>8.329497179654588</v>
      </c>
    </row>
    <row r="62" spans="1:6" s="39" customFormat="1" ht="15">
      <c r="A62" s="40" t="s">
        <v>45</v>
      </c>
      <c r="B62" s="9">
        <f>SUM(B58)-B59-B60-B61</f>
        <v>177574.82200000001</v>
      </c>
      <c r="C62" s="9">
        <f>SUM(C58)-C59-C60-C61</f>
        <v>39299.013000000006</v>
      </c>
      <c r="D62" s="9">
        <f>SUM(D58)-D59-D60-D61</f>
        <v>122938.64464000003</v>
      </c>
      <c r="E62" s="18">
        <f t="shared" si="0"/>
        <v>69.23202470674588</v>
      </c>
      <c r="F62" s="18">
        <f t="shared" si="1"/>
        <v>312.82883526871274</v>
      </c>
    </row>
    <row r="63" spans="1:6" s="39" customFormat="1" ht="15">
      <c r="A63" s="38" t="s">
        <v>46</v>
      </c>
      <c r="B63" s="23">
        <f>61251.718-35861.8+74373.288+237</f>
        <v>100000.206</v>
      </c>
      <c r="C63" s="23">
        <v>100000.206</v>
      </c>
      <c r="D63" s="23">
        <v>65163.96082</v>
      </c>
      <c r="E63" s="18">
        <f t="shared" si="0"/>
        <v>65.16382658251723</v>
      </c>
      <c r="F63" s="18">
        <f t="shared" si="1"/>
        <v>65.16382658251723</v>
      </c>
    </row>
    <row r="64" spans="1:6" s="39" customFormat="1" ht="15">
      <c r="A64" s="19" t="s">
        <v>52</v>
      </c>
      <c r="B64" s="20">
        <f>SUM(B65)</f>
        <v>76063.756</v>
      </c>
      <c r="C64" s="20">
        <f>SUM(C65)</f>
        <v>72801.421</v>
      </c>
      <c r="D64" s="20">
        <f>SUM(D65)</f>
        <v>30269.50487</v>
      </c>
      <c r="E64" s="17">
        <f t="shared" si="0"/>
        <v>39.79491213923226</v>
      </c>
      <c r="F64" s="17">
        <f t="shared" si="1"/>
        <v>41.57817863198027</v>
      </c>
    </row>
    <row r="65" spans="1:6" s="39" customFormat="1" ht="15">
      <c r="A65" s="38" t="s">
        <v>46</v>
      </c>
      <c r="B65" s="23">
        <f>19538.959+63761.797-7237</f>
        <v>76063.756</v>
      </c>
      <c r="C65" s="23">
        <v>72801.421</v>
      </c>
      <c r="D65" s="23">
        <v>30269.50487</v>
      </c>
      <c r="E65" s="18">
        <f t="shared" si="0"/>
        <v>39.79491213923226</v>
      </c>
      <c r="F65" s="18">
        <f t="shared" si="1"/>
        <v>41.57817863198027</v>
      </c>
    </row>
    <row r="66" spans="1:6" s="39" customFormat="1" ht="15">
      <c r="A66" s="42" t="s">
        <v>53</v>
      </c>
      <c r="B66" s="20">
        <f>SUM(B67:B68)</f>
        <v>158745.844</v>
      </c>
      <c r="C66" s="20">
        <f>SUM(C67:C68)</f>
        <v>154520.21365</v>
      </c>
      <c r="D66" s="20">
        <f>SUM(D67:D68)</f>
        <v>123774.58107</v>
      </c>
      <c r="E66" s="17">
        <f t="shared" si="0"/>
        <v>77.97028126922176</v>
      </c>
      <c r="F66" s="17">
        <f t="shared" si="1"/>
        <v>80.10251742879338</v>
      </c>
    </row>
    <row r="67" spans="1:6" s="39" customFormat="1" ht="15">
      <c r="A67" s="38" t="s">
        <v>45</v>
      </c>
      <c r="B67" s="23">
        <f>59582.369+500</f>
        <v>60082.369</v>
      </c>
      <c r="C67" s="23">
        <v>57562.73865</v>
      </c>
      <c r="D67" s="23">
        <v>50872.76853</v>
      </c>
      <c r="E67" s="18">
        <f t="shared" si="0"/>
        <v>84.67170881694096</v>
      </c>
      <c r="F67" s="18">
        <f t="shared" si="1"/>
        <v>88.37795025584663</v>
      </c>
    </row>
    <row r="68" spans="1:6" s="39" customFormat="1" ht="15">
      <c r="A68" s="38" t="s">
        <v>46</v>
      </c>
      <c r="B68" s="23">
        <f>40309.086+52354.389+6000</f>
        <v>98663.475</v>
      </c>
      <c r="C68" s="23">
        <v>96957.475</v>
      </c>
      <c r="D68" s="23">
        <v>72901.81254</v>
      </c>
      <c r="E68" s="18">
        <f t="shared" si="0"/>
        <v>73.88936234001487</v>
      </c>
      <c r="F68" s="18">
        <f t="shared" si="1"/>
        <v>75.18947099230874</v>
      </c>
    </row>
    <row r="69" spans="1:6" s="39" customFormat="1" ht="57">
      <c r="A69" s="43" t="s">
        <v>54</v>
      </c>
      <c r="B69" s="20">
        <f>SUM(B70:B70)</f>
        <v>46206</v>
      </c>
      <c r="C69" s="20">
        <f>SUM(C70:C70)</f>
        <v>46206</v>
      </c>
      <c r="D69" s="20">
        <f>SUM(D70:D70)</f>
        <v>33049.95</v>
      </c>
      <c r="E69" s="17">
        <f t="shared" si="0"/>
        <v>71.52739903908582</v>
      </c>
      <c r="F69" s="17">
        <f t="shared" si="1"/>
        <v>71.52739903908582</v>
      </c>
    </row>
    <row r="70" spans="1:6" s="39" customFormat="1" ht="15">
      <c r="A70" s="38" t="s">
        <v>46</v>
      </c>
      <c r="B70" s="23">
        <v>46206</v>
      </c>
      <c r="C70" s="23">
        <v>46206</v>
      </c>
      <c r="D70" s="23">
        <v>33049.95</v>
      </c>
      <c r="E70" s="18">
        <f t="shared" si="0"/>
        <v>71.52739903908582</v>
      </c>
      <c r="F70" s="18">
        <f t="shared" si="1"/>
        <v>71.52739903908582</v>
      </c>
    </row>
    <row r="71" spans="1:6" s="39" customFormat="1" ht="39.75" customHeight="1">
      <c r="A71" s="42" t="s">
        <v>55</v>
      </c>
      <c r="B71" s="16">
        <f>SUM(B72)+B75</f>
        <v>6808.700000000001</v>
      </c>
      <c r="C71" s="16">
        <f>SUM(C72)+C75</f>
        <v>6493.688</v>
      </c>
      <c r="D71" s="16">
        <f>SUM(D72)+D75</f>
        <v>4322.015</v>
      </c>
      <c r="E71" s="17">
        <f t="shared" si="0"/>
        <v>63.4778298353577</v>
      </c>
      <c r="F71" s="17">
        <f t="shared" si="1"/>
        <v>66.55717059396757</v>
      </c>
    </row>
    <row r="72" spans="1:6" s="39" customFormat="1" ht="15">
      <c r="A72" s="38" t="s">
        <v>48</v>
      </c>
      <c r="B72" s="23">
        <v>5036.657</v>
      </c>
      <c r="C72" s="23">
        <v>4721.645</v>
      </c>
      <c r="D72" s="23">
        <v>4322.015</v>
      </c>
      <c r="E72" s="18">
        <f>SUM(D72)/B72*100</f>
        <v>85.81118388645484</v>
      </c>
      <c r="F72" s="18">
        <f>SUM(D72)/C72*100</f>
        <v>91.53621248526731</v>
      </c>
    </row>
    <row r="73" spans="1:6" s="39" customFormat="1" ht="30">
      <c r="A73" s="40" t="s">
        <v>44</v>
      </c>
      <c r="B73" s="9">
        <v>6.072</v>
      </c>
      <c r="C73" s="9">
        <v>5.372</v>
      </c>
      <c r="D73" s="9">
        <v>1.49</v>
      </c>
      <c r="E73" s="18">
        <f t="shared" si="0"/>
        <v>24.538866930171277</v>
      </c>
      <c r="F73" s="18">
        <f t="shared" si="1"/>
        <v>27.736411020104246</v>
      </c>
    </row>
    <row r="74" spans="1:6" s="39" customFormat="1" ht="15">
      <c r="A74" s="40" t="s">
        <v>45</v>
      </c>
      <c r="B74" s="9">
        <f>SUM(B72)-B73</f>
        <v>5030.585</v>
      </c>
      <c r="C74" s="9">
        <f>SUM(C72)-C73</f>
        <v>4716.273</v>
      </c>
      <c r="D74" s="9">
        <f>SUM(D72)-D73</f>
        <v>4320.525000000001</v>
      </c>
      <c r="E74" s="18">
        <f aca="true" t="shared" si="2" ref="E74:E93">SUM(D74)/B74*100</f>
        <v>85.88514059498051</v>
      </c>
      <c r="F74" s="18">
        <f aca="true" t="shared" si="3" ref="F74:F92">SUM(D74)/C74*100</f>
        <v>91.60888269190525</v>
      </c>
    </row>
    <row r="75" spans="1:6" s="39" customFormat="1" ht="15">
      <c r="A75" s="38" t="s">
        <v>46</v>
      </c>
      <c r="B75" s="23">
        <f>1700+72.043</f>
        <v>1772.0430000000001</v>
      </c>
      <c r="C75" s="23">
        <f>1700+72.043</f>
        <v>1772.0430000000001</v>
      </c>
      <c r="D75" s="23"/>
      <c r="E75" s="18">
        <f t="shared" si="2"/>
        <v>0</v>
      </c>
      <c r="F75" s="18">
        <f t="shared" si="3"/>
        <v>0</v>
      </c>
    </row>
    <row r="76" spans="1:6" s="39" customFormat="1" ht="14.25">
      <c r="A76" s="42" t="s">
        <v>56</v>
      </c>
      <c r="B76" s="16">
        <v>2500</v>
      </c>
      <c r="C76" s="16">
        <v>1700</v>
      </c>
      <c r="D76" s="16"/>
      <c r="E76" s="17">
        <f t="shared" si="2"/>
        <v>0</v>
      </c>
      <c r="F76" s="17"/>
    </row>
    <row r="77" spans="1:6" s="39" customFormat="1" ht="14.25">
      <c r="A77" s="42" t="s">
        <v>57</v>
      </c>
      <c r="B77" s="16">
        <v>18418.4</v>
      </c>
      <c r="C77" s="16">
        <v>16883.6</v>
      </c>
      <c r="D77" s="16">
        <v>15348.8</v>
      </c>
      <c r="E77" s="17">
        <f t="shared" si="2"/>
        <v>83.33405724710072</v>
      </c>
      <c r="F77" s="17">
        <f t="shared" si="3"/>
        <v>90.90952166599541</v>
      </c>
    </row>
    <row r="78" spans="1:6" s="37" customFormat="1" ht="14.25">
      <c r="A78" s="35" t="s">
        <v>58</v>
      </c>
      <c r="B78" s="16">
        <f>SUM(B79)+B83</f>
        <v>12223.896999999999</v>
      </c>
      <c r="C78" s="16">
        <f>SUM(C79)+C83</f>
        <v>12055.177</v>
      </c>
      <c r="D78" s="16">
        <f>SUM(D79)+D83</f>
        <v>10457.747800000001</v>
      </c>
      <c r="E78" s="17">
        <f t="shared" si="2"/>
        <v>85.55166817914125</v>
      </c>
      <c r="F78" s="17">
        <f t="shared" si="3"/>
        <v>86.74901911436059</v>
      </c>
    </row>
    <row r="79" spans="1:6" s="37" customFormat="1" ht="15">
      <c r="A79" s="38" t="s">
        <v>48</v>
      </c>
      <c r="B79" s="23">
        <f>8440.456-571.501+470.8+119+344.868+89.88</f>
        <v>8893.502999999999</v>
      </c>
      <c r="C79" s="23">
        <v>8724.783</v>
      </c>
      <c r="D79" s="23">
        <f>6661.9743+907.331</f>
        <v>7569.3053</v>
      </c>
      <c r="E79" s="18">
        <f>SUM(D79)/B79*100</f>
        <v>85.11050482582624</v>
      </c>
      <c r="F79" s="18">
        <f>SUM(D79)/C79*100</f>
        <v>86.75637319575742</v>
      </c>
    </row>
    <row r="80" spans="1:6" s="39" customFormat="1" ht="15">
      <c r="A80" s="40" t="s">
        <v>40</v>
      </c>
      <c r="B80" s="9">
        <f>98.3+1977.142+251.502</f>
        <v>2326.944</v>
      </c>
      <c r="C80" s="9">
        <f>98.3+2228.644</f>
        <v>2326.944</v>
      </c>
      <c r="D80" s="9">
        <v>2315.078</v>
      </c>
      <c r="E80" s="18">
        <f t="shared" si="2"/>
        <v>99.49006078358569</v>
      </c>
      <c r="F80" s="18">
        <f t="shared" si="3"/>
        <v>99.49006078358569</v>
      </c>
    </row>
    <row r="81" spans="1:6" s="39" customFormat="1" ht="15">
      <c r="A81" s="40" t="s">
        <v>41</v>
      </c>
      <c r="B81" s="9">
        <f>33.7+716.409+91.083</f>
        <v>841.192</v>
      </c>
      <c r="C81" s="9">
        <f>33.7+713.371+86.7</f>
        <v>833.7710000000001</v>
      </c>
      <c r="D81" s="9">
        <v>803.333</v>
      </c>
      <c r="E81" s="18">
        <f t="shared" si="2"/>
        <v>95.49936280896631</v>
      </c>
      <c r="F81" s="18">
        <f t="shared" si="3"/>
        <v>96.34935731753683</v>
      </c>
    </row>
    <row r="82" spans="1:6" s="39" customFormat="1" ht="15">
      <c r="A82" s="40" t="s">
        <v>45</v>
      </c>
      <c r="B82" s="9">
        <f>SUM(B79)-B80-B81</f>
        <v>5725.366999999999</v>
      </c>
      <c r="C82" s="9">
        <f>SUM(C79)-C80-C81</f>
        <v>5564.068</v>
      </c>
      <c r="D82" s="9">
        <f>SUM(D79)-D80-D81</f>
        <v>4450.894300000001</v>
      </c>
      <c r="E82" s="18">
        <f t="shared" si="2"/>
        <v>77.739895101921</v>
      </c>
      <c r="F82" s="18">
        <f t="shared" si="3"/>
        <v>79.99352811647881</v>
      </c>
    </row>
    <row r="83" spans="1:6" s="39" customFormat="1" ht="15">
      <c r="A83" s="38" t="s">
        <v>46</v>
      </c>
      <c r="B83" s="23">
        <f>3330.394</f>
        <v>3330.394</v>
      </c>
      <c r="C83" s="23">
        <f>3330.394</f>
        <v>3330.394</v>
      </c>
      <c r="D83" s="23">
        <v>2888.4425</v>
      </c>
      <c r="E83" s="18">
        <f t="shared" si="2"/>
        <v>86.72975329645682</v>
      </c>
      <c r="F83" s="18">
        <f t="shared" si="3"/>
        <v>86.72975329645682</v>
      </c>
    </row>
    <row r="84" spans="1:6" s="39" customFormat="1" ht="40.5">
      <c r="A84" s="44" t="s">
        <v>59</v>
      </c>
      <c r="B84" s="16">
        <f>2159.137+16186.092</f>
        <v>18345.229</v>
      </c>
      <c r="C84" s="16">
        <f>2159.137+16186.092</f>
        <v>18345.229</v>
      </c>
      <c r="D84" s="16">
        <f>16186.092+2111.439</f>
        <v>18297.531</v>
      </c>
      <c r="E84" s="17">
        <f t="shared" si="2"/>
        <v>99.73999779452194</v>
      </c>
      <c r="F84" s="17">
        <f t="shared" si="3"/>
        <v>99.73999779452194</v>
      </c>
    </row>
    <row r="85" spans="1:13" s="48" customFormat="1" ht="15.75">
      <c r="A85" s="45" t="s">
        <v>60</v>
      </c>
      <c r="B85" s="26">
        <f>B5+B14+B23+B36+B43+B50+B57+B64+B66+B69+B71+B76+B77+B78+B84</f>
        <v>2526410.7449999996</v>
      </c>
      <c r="C85" s="26">
        <f>C5+C14+C23+C36+C43+C50+C57+C64+C66+C69+C71+C76+C77+C78+C84</f>
        <v>2238526.37799</v>
      </c>
      <c r="D85" s="26">
        <f>D5+D14+D23+D36+D43+D50+D57+D64+D66+D69+D71+D76+D77+D78+D84</f>
        <v>1831068.3440499997</v>
      </c>
      <c r="E85" s="17">
        <f t="shared" si="2"/>
        <v>72.47706445493289</v>
      </c>
      <c r="F85" s="17">
        <f t="shared" si="3"/>
        <v>81.79793466155795</v>
      </c>
      <c r="G85" s="46"/>
      <c r="H85" s="46"/>
      <c r="I85" s="46"/>
      <c r="J85" s="46"/>
      <c r="K85" s="47"/>
      <c r="L85" s="47"/>
      <c r="M85" s="47"/>
    </row>
    <row r="86" spans="1:13" s="48" customFormat="1" ht="15.75">
      <c r="A86" s="35" t="s">
        <v>48</v>
      </c>
      <c r="B86" s="26">
        <f>B6+B15+B24+B37+B44+B51+B58+B67+B72+B79+B77</f>
        <v>2091709.314</v>
      </c>
      <c r="C86" s="26">
        <f>C6+C15+C24+C37+C44+C51+C58+C67+C72+C79+C77</f>
        <v>1810305.51699</v>
      </c>
      <c r="D86" s="26">
        <f>D6+D15+D24+D37+D44+D51+D58+D67+D72+D79+D77</f>
        <v>1550538.6917099997</v>
      </c>
      <c r="E86" s="17">
        <f>SUM(D86)/B86*100</f>
        <v>74.12782843830658</v>
      </c>
      <c r="F86" s="17">
        <f>SUM(D86)/C86*100</f>
        <v>85.65066377790666</v>
      </c>
      <c r="G86" s="46"/>
      <c r="H86" s="46"/>
      <c r="I86" s="46"/>
      <c r="J86" s="46"/>
      <c r="K86" s="47"/>
      <c r="L86" s="47"/>
      <c r="M86" s="47"/>
    </row>
    <row r="87" spans="1:6" s="50" customFormat="1" ht="15">
      <c r="A87" s="49" t="s">
        <v>40</v>
      </c>
      <c r="B87" s="20">
        <f aca="true" t="shared" si="4" ref="B87:D88">B7+B16+B25+B38+B45+B52+B59+B80</f>
        <v>560257.2660000001</v>
      </c>
      <c r="C87" s="20">
        <f t="shared" si="4"/>
        <v>512036.9759999999</v>
      </c>
      <c r="D87" s="20">
        <f t="shared" si="4"/>
        <v>450779.61778999993</v>
      </c>
      <c r="E87" s="17">
        <f t="shared" si="2"/>
        <v>80.4593969853128</v>
      </c>
      <c r="F87" s="17">
        <f t="shared" si="3"/>
        <v>88.03653621100989</v>
      </c>
    </row>
    <row r="88" spans="1:6" ht="15">
      <c r="A88" s="49" t="s">
        <v>41</v>
      </c>
      <c r="B88" s="20">
        <f t="shared" si="4"/>
        <v>202876.56900000005</v>
      </c>
      <c r="C88" s="20">
        <f t="shared" si="4"/>
        <v>185787.8886</v>
      </c>
      <c r="D88" s="20">
        <f t="shared" si="4"/>
        <v>163253.99439</v>
      </c>
      <c r="E88" s="17">
        <f t="shared" si="2"/>
        <v>80.46961519247694</v>
      </c>
      <c r="F88" s="17">
        <f t="shared" si="3"/>
        <v>87.8711715926137</v>
      </c>
    </row>
    <row r="89" spans="1:6" ht="15">
      <c r="A89" s="49" t="s">
        <v>61</v>
      </c>
      <c r="B89" s="20">
        <f>B73+B11+B20+B29+B40+B47+B54+B61+60</f>
        <v>139004.103</v>
      </c>
      <c r="C89" s="20">
        <f>C73+C11+C20+C29+C40+C47+C54+C61+34.5</f>
        <v>218476.15954999998</v>
      </c>
      <c r="D89" s="20">
        <f>D73+D11+D20+D29+D40+D47+D54+D61</f>
        <v>88696.12328</v>
      </c>
      <c r="E89" s="17">
        <f t="shared" si="2"/>
        <v>63.80827714128697</v>
      </c>
      <c r="F89" s="17">
        <f t="shared" si="3"/>
        <v>40.59762102313099</v>
      </c>
    </row>
    <row r="90" spans="1:6" ht="15">
      <c r="A90" s="49" t="s">
        <v>45</v>
      </c>
      <c r="B90" s="20">
        <f>B86-B87-B88-B89</f>
        <v>1189571.3759999997</v>
      </c>
      <c r="C90" s="20">
        <f>C86-C87-C88-C89</f>
        <v>894004.4928400002</v>
      </c>
      <c r="D90" s="20">
        <f>D86-D87-D88-D89</f>
        <v>847808.9562499998</v>
      </c>
      <c r="E90" s="17">
        <f t="shared" si="2"/>
        <v>71.27012076406922</v>
      </c>
      <c r="F90" s="17">
        <f t="shared" si="3"/>
        <v>94.83273999627785</v>
      </c>
    </row>
    <row r="91" spans="1:6" ht="15">
      <c r="A91" s="35" t="s">
        <v>46</v>
      </c>
      <c r="B91" s="16">
        <f>B13+B22+B42+B34+B56+B63+B65+B68+B70+B75+B83+B49</f>
        <v>413856.202</v>
      </c>
      <c r="C91" s="16">
        <f>C13+C22+C42+C34+C56+C63+C65+C68+C70+C75+C83+C49</f>
        <v>408175.63200000004</v>
      </c>
      <c r="D91" s="16">
        <f>D13+D22+D42+D34+D56+D63+D65+D68+D70+D75+D83+D49</f>
        <v>262232.12134</v>
      </c>
      <c r="E91" s="17">
        <f t="shared" si="2"/>
        <v>63.36310053413191</v>
      </c>
      <c r="F91" s="17">
        <f t="shared" si="3"/>
        <v>64.24492320991861</v>
      </c>
    </row>
    <row r="92" spans="1:6" ht="15">
      <c r="A92" s="35" t="s">
        <v>62</v>
      </c>
      <c r="B92" s="16">
        <f>SUM(B84)</f>
        <v>18345.229</v>
      </c>
      <c r="C92" s="16">
        <f>SUM(C84)</f>
        <v>18345.229</v>
      </c>
      <c r="D92" s="16">
        <f>SUM(D84)</f>
        <v>18297.531</v>
      </c>
      <c r="E92" s="17">
        <f t="shared" si="2"/>
        <v>99.73999779452194</v>
      </c>
      <c r="F92" s="17">
        <f t="shared" si="3"/>
        <v>99.73999779452194</v>
      </c>
    </row>
    <row r="93" spans="1:6" ht="28.5">
      <c r="A93" s="35" t="s">
        <v>63</v>
      </c>
      <c r="B93" s="16">
        <f>SUM(B76)</f>
        <v>2500</v>
      </c>
      <c r="C93" s="16">
        <f>SUM(C76)</f>
        <v>1700</v>
      </c>
      <c r="D93" s="16"/>
      <c r="E93" s="17">
        <f t="shared" si="2"/>
        <v>0</v>
      </c>
      <c r="F93" s="17"/>
    </row>
    <row r="96" spans="2:4" ht="15">
      <c r="B96" s="52"/>
      <c r="C96" s="52"/>
      <c r="D96" s="52"/>
    </row>
    <row r="97" spans="2:4" ht="15">
      <c r="B97" s="52"/>
      <c r="C97" s="52"/>
      <c r="D97" s="52"/>
    </row>
    <row r="98" spans="2:4" ht="15">
      <c r="B98" s="52"/>
      <c r="C98" s="52"/>
      <c r="D98" s="52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user416c</cp:lastModifiedBy>
  <cp:lastPrinted>2015-11-09T12:56:23Z</cp:lastPrinted>
  <dcterms:created xsi:type="dcterms:W3CDTF">2015-04-07T07:35:57Z</dcterms:created>
  <dcterms:modified xsi:type="dcterms:W3CDTF">2015-11-09T12:59:01Z</dcterms:modified>
  <cp:category/>
  <cp:version/>
  <cp:contentType/>
  <cp:contentStatus/>
</cp:coreProperties>
</file>