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585" activeTab="0"/>
  </bookViews>
  <sheets>
    <sheet name="Лист1 (2)" sheetId="1" r:id="rId1"/>
  </sheets>
  <definedNames>
    <definedName name="_xlnm.Print_Area" localSheetId="0">'Лист1 (2)'!$A$1:$H$181</definedName>
  </definedNames>
  <calcPr fullCalcOnLoad="1"/>
</workbook>
</file>

<file path=xl/sharedStrings.xml><?xml version="1.0" encoding="utf-8"?>
<sst xmlns="http://schemas.openxmlformats.org/spreadsheetml/2006/main" count="209" uniqueCount="98">
  <si>
    <t>Річний звіт по використанню коштів за 2016 рік по галузі "Культура" по видам закладів</t>
  </si>
  <si>
    <t>Видатки</t>
  </si>
  <si>
    <t>2016 рік</t>
  </si>
  <si>
    <t>Відсоток від загальної суми(2+4), %</t>
  </si>
  <si>
    <t>спецфонд</t>
  </si>
  <si>
    <t>Разом по спец. фонду (3+4)</t>
  </si>
  <si>
    <t>Кошти від господар. діяльності</t>
  </si>
  <si>
    <t>Разом (2+4)</t>
  </si>
  <si>
    <t>Власні</t>
  </si>
  <si>
    <t>Бюджет розвитку</t>
  </si>
  <si>
    <t>Бібліотеки</t>
  </si>
  <si>
    <t>Заклади клубного типу</t>
  </si>
  <si>
    <t>Школи естетичного виховання</t>
  </si>
  <si>
    <t>Охорона культурної спадщини</t>
  </si>
  <si>
    <t>Культурно - мистецькі заходи</t>
  </si>
  <si>
    <t>КП "Миколаївські парки"</t>
  </si>
  <si>
    <t>Миколаївський зоопарк</t>
  </si>
  <si>
    <t>БУ КІК "ДМ "Казка"</t>
  </si>
  <si>
    <t>Інші заклади ( ММЦ,  театр-студія, централізована бухгалтерія)</t>
  </si>
  <si>
    <t>РАЗОМ:</t>
  </si>
  <si>
    <t>Річний звіт по використанню коштів за 2016 рік по галузі "Культура" по видам видатків</t>
  </si>
  <si>
    <t>Відсоток від загальної суми (2+4), %</t>
  </si>
  <si>
    <t>Кошти від господ. діяльності</t>
  </si>
  <si>
    <t>Заробітна плата разом із нарахуванням</t>
  </si>
  <si>
    <t>Енергоносії (теплопостачання, водопостачання, електроенергія,        природний газ, інші комунальні послуги)</t>
  </si>
  <si>
    <t>Канцгоспвидатки, ГСМ</t>
  </si>
  <si>
    <t>Інші послуги (крім комунальних) (охорона, зв'язок,відсотки профспілкам, навчання), поточні ремонти</t>
  </si>
  <si>
    <t>Святкові заходи</t>
  </si>
  <si>
    <t>Відрядження</t>
  </si>
  <si>
    <t>Поповнення бібліотечних фондів</t>
  </si>
  <si>
    <t xml:space="preserve">Придбання обладнання </t>
  </si>
  <si>
    <t>Бібліотеки капітальний ремонт</t>
  </si>
  <si>
    <t>Палаци і будинки культури, клуби (капітальний ремонт та реконструкція)</t>
  </si>
  <si>
    <t>Школи естетичного виховання дітей (капітальний ремонт та реконструкція)</t>
  </si>
  <si>
    <t>ДМ "Казка" (капітальний ремонт та реконструкція)</t>
  </si>
  <si>
    <t>Зоопарк (фінансова підтримка)</t>
  </si>
  <si>
    <t>КП Миколаївські парки (фінансова підтримка)</t>
  </si>
  <si>
    <t>Зоопарк (капітальні ремонти, будівництво, реконструкція)</t>
  </si>
  <si>
    <t>КП Миколаївські парки (капітальні ремонти)</t>
  </si>
  <si>
    <t>Кап. ремонт та реконструкція ММПК "Молодіжний"</t>
  </si>
  <si>
    <t>Кап.ремонт покриття амфітеатру (БУ КІК ДМ "Казка")</t>
  </si>
  <si>
    <t>Виготовлення проектно-кошторисних документацій БУ КІК ДМ "Казка"</t>
  </si>
  <si>
    <t>Капремонт та реконструкція глядачевого залу Великокорениського БК</t>
  </si>
  <si>
    <t>Реконструкція господарчого приміщення під сантехвузол Малокорениського будинку культури</t>
  </si>
  <si>
    <t>Капітальний ремонт  ММПК "Корабельний"</t>
  </si>
  <si>
    <t xml:space="preserve">Капремонт та реконструкція (школи естетичного виховання дітей) </t>
  </si>
  <si>
    <t>РАЗОМ</t>
  </si>
  <si>
    <t xml:space="preserve">Річний звіт по використанню коштів за 2016 рік КТКВК 110201 "Бібліотеки" </t>
  </si>
  <si>
    <t>Відсоток від загальної суми (2+4),%</t>
  </si>
  <si>
    <t>Енергоносії(теплопостачання, водопостачання,електроенергія, природний газ, інші комунальні послуги)</t>
  </si>
  <si>
    <t>Інші послуги (крім комунальних) (охорона, зв'язок,відсотки профспілкам, навчання)</t>
  </si>
  <si>
    <t xml:space="preserve">Капремонт </t>
  </si>
  <si>
    <t>Придбання обладнання</t>
  </si>
  <si>
    <t>Річний звіт по використанню коштів за 2016 рік  по КТКВК 110204 "Палаци і будинки культури, клуби та інші заклади клубного типу"</t>
  </si>
  <si>
    <t>Енергоносії(теплопостачання, водопостачання, електроенергія, природний газ, інші комунальні послуги)</t>
  </si>
  <si>
    <t>Капремонт та реконструкція (Миколаївський палац культури "Молодіжний")</t>
  </si>
  <si>
    <t>Реконструкція господарчого приміщення під сантехвузол з підведенням інженерних комунікацій: систем водопостачання та водовідведення Малокорениського будинку культури</t>
  </si>
  <si>
    <t>Капремонт Великокорениського БК</t>
  </si>
  <si>
    <t>Капітальний ремонт стелі та глядачевої зали та заміна віков будівлі Кульбакінського будинку культури</t>
  </si>
  <si>
    <t>Річний звіт по використанню коштів за 2016 рік  по КТКВК  110205 "Школи естетичного виховання дітей"</t>
  </si>
  <si>
    <t>Заробітна плата разом з нарахуванням</t>
  </si>
  <si>
    <t>Канцгоспвидатки</t>
  </si>
  <si>
    <t>Капремонт Дитяча школа мистецтв № 2</t>
  </si>
  <si>
    <t>Капремонт ДМШ 1, ДМШ 5 (виготовлення ПКД)</t>
  </si>
  <si>
    <t>Реконструкція нежитлового приміщення під Дитячу музичну школу № 6</t>
  </si>
  <si>
    <t>Реставрація пам'ятки історії місцевого значення (Дитяча музична школа № 8)</t>
  </si>
  <si>
    <t>Реконструкція нежитлових приміщень під дитячу художню школу</t>
  </si>
  <si>
    <t>Річний звіт по використанню коштів за 2016 рік  по КТКВК 110502 "Інші культурно освітні заклади та заходи"</t>
  </si>
  <si>
    <t>ДМ "Казка", ММЦ, Централізована бухгалтерія,</t>
  </si>
  <si>
    <t xml:space="preserve">Муніципальний Театр - студія, КП "Миколаївські парки", </t>
  </si>
  <si>
    <t>Миколаївський Зоопарк, Свята, Пам'ятники</t>
  </si>
  <si>
    <t>Енергоносії (теплопостачання, водопостачання, електроенергія, природний газ, інші комунальні послуги)</t>
  </si>
  <si>
    <t>Капремонт</t>
  </si>
  <si>
    <t>Фінансова підтримка (КП "Миколаївські парки", Миколаївський Зоопарк)</t>
  </si>
  <si>
    <t>Придбання обладнання (БУ КІК "ДМ "Казка")</t>
  </si>
  <si>
    <t>Реконструкція (БУ КІК ДМ "Казка")</t>
  </si>
  <si>
    <t>Будівництво Зоопарк (жирафник, місток)</t>
  </si>
  <si>
    <t>Річний звіт по використанню коштів за 2016 рік БУ КІК "ДМ "Казка"</t>
  </si>
  <si>
    <t>Інші послуги (крім комунальних) (охорона, зв'язок,навчання)</t>
  </si>
  <si>
    <t>Реконструкція ДМ "Казка"</t>
  </si>
  <si>
    <t>Річний звіт по використанню коштів за 2016 рік КУ Миколаївський Зоопарк</t>
  </si>
  <si>
    <t>Заробітна плата разом з нарахуваннями</t>
  </si>
  <si>
    <t>Корма</t>
  </si>
  <si>
    <t>Інші видатки (зв'язок, податки, транспортні послуги)</t>
  </si>
  <si>
    <t>Охорона</t>
  </si>
  <si>
    <t>Енергоносії(теплопостачання, водопостачання,електроенергія,природний газ)</t>
  </si>
  <si>
    <t>Придбання обладнання (камери відеоспостереження)</t>
  </si>
  <si>
    <t>Будівництво (жирафник, місток)</t>
  </si>
  <si>
    <t>Річний звіт по використанню коштів за 2016 рік КП "Миколаївські парки"</t>
  </si>
  <si>
    <t>Придбання матеріалів</t>
  </si>
  <si>
    <t>Енергоносії (водопостачання, електропостачання, вугілля )</t>
  </si>
  <si>
    <t>Оплата послуг (зв'язок, есплуатаційні, охорона)</t>
  </si>
  <si>
    <t>Інші</t>
  </si>
  <si>
    <t>податки</t>
  </si>
  <si>
    <t>навчання на курсах</t>
  </si>
  <si>
    <t>Придбання обладнання (вуличні тренажери)</t>
  </si>
  <si>
    <t>Капремонт (виготовлення ПКД)</t>
  </si>
  <si>
    <t>Загальний фонд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</si>
</sst>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188" fontId="18" fillId="0" borderId="12" xfId="0" applyNumberFormat="1" applyFont="1" applyFill="1" applyBorder="1" applyAlignment="1">
      <alignment/>
    </xf>
    <xf numFmtId="188" fontId="18" fillId="0" borderId="10" xfId="0" applyNumberFormat="1" applyFont="1" applyFill="1" applyBorder="1" applyAlignment="1">
      <alignment/>
    </xf>
    <xf numFmtId="188" fontId="18" fillId="0" borderId="14" xfId="0" applyNumberFormat="1" applyFont="1" applyFill="1" applyBorder="1" applyAlignment="1">
      <alignment/>
    </xf>
    <xf numFmtId="189" fontId="21" fillId="0" borderId="12" xfId="0" applyNumberFormat="1" applyFont="1" applyFill="1" applyBorder="1" applyAlignment="1">
      <alignment/>
    </xf>
    <xf numFmtId="188" fontId="18" fillId="0" borderId="12" xfId="0" applyNumberFormat="1" applyFont="1" applyFill="1" applyBorder="1" applyAlignment="1">
      <alignment horizontal="right"/>
    </xf>
    <xf numFmtId="188" fontId="18" fillId="0" borderId="0" xfId="0" applyNumberFormat="1" applyFont="1" applyFill="1" applyAlignment="1">
      <alignment/>
    </xf>
    <xf numFmtId="0" fontId="18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188" fontId="21" fillId="0" borderId="12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188" fontId="21" fillId="0" borderId="14" xfId="0" applyNumberFormat="1" applyFont="1" applyFill="1" applyBorder="1" applyAlignment="1">
      <alignment/>
    </xf>
    <xf numFmtId="188" fontId="18" fillId="0" borderId="15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6" xfId="0" applyFont="1" applyFill="1" applyBorder="1" applyAlignment="1">
      <alignment horizontal="center" wrapText="1"/>
    </xf>
    <xf numFmtId="188" fontId="18" fillId="0" borderId="12" xfId="0" applyNumberFormat="1" applyFont="1" applyFill="1" applyBorder="1" applyAlignment="1">
      <alignment horizontal="right" wrapText="1"/>
    </xf>
    <xf numFmtId="188" fontId="18" fillId="0" borderId="17" xfId="0" applyNumberFormat="1" applyFont="1" applyFill="1" applyBorder="1" applyAlignment="1">
      <alignment horizontal="right"/>
    </xf>
    <xf numFmtId="188" fontId="21" fillId="0" borderId="12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188" fontId="21" fillId="0" borderId="0" xfId="0" applyNumberFormat="1" applyFont="1" applyFill="1" applyBorder="1" applyAlignment="1">
      <alignment/>
    </xf>
    <xf numFmtId="188" fontId="21" fillId="0" borderId="12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1" fontId="18" fillId="0" borderId="12" xfId="0" applyNumberFormat="1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 horizontal="center" wrapText="1"/>
    </xf>
    <xf numFmtId="1" fontId="18" fillId="0" borderId="0" xfId="0" applyNumberFormat="1" applyFont="1" applyFill="1" applyBorder="1" applyAlignment="1">
      <alignment horizontal="center"/>
    </xf>
    <xf numFmtId="188" fontId="18" fillId="0" borderId="0" xfId="0" applyNumberFormat="1" applyFont="1" applyFill="1" applyBorder="1" applyAlignment="1">
      <alignment/>
    </xf>
    <xf numFmtId="188" fontId="18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88" fontId="18" fillId="0" borderId="12" xfId="0" applyNumberFormat="1" applyFont="1" applyFill="1" applyBorder="1" applyAlignment="1">
      <alignment wrapText="1"/>
    </xf>
    <xf numFmtId="189" fontId="21" fillId="0" borderId="12" xfId="0" applyNumberFormat="1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188" fontId="21" fillId="0" borderId="12" xfId="0" applyNumberFormat="1" applyFont="1" applyFill="1" applyBorder="1" applyAlignment="1">
      <alignment horizontal="right"/>
    </xf>
    <xf numFmtId="188" fontId="21" fillId="0" borderId="15" xfId="0" applyNumberFormat="1" applyFont="1" applyFill="1" applyBorder="1" applyAlignment="1">
      <alignment horizontal="right"/>
    </xf>
    <xf numFmtId="1" fontId="18" fillId="0" borderId="11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21" fillId="0" borderId="18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left" wrapText="1"/>
    </xf>
    <xf numFmtId="0" fontId="18" fillId="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1"/>
  <sheetViews>
    <sheetView tabSelected="1" view="pageBreakPreview" zoomScale="85" zoomScaleSheetLayoutView="85" workbookViewId="0" topLeftCell="A1">
      <selection activeCell="J187" sqref="J187"/>
    </sheetView>
  </sheetViews>
  <sheetFormatPr defaultColWidth="9.140625" defaultRowHeight="12.75"/>
  <cols>
    <col min="1" max="1" width="41.57421875" style="1" customWidth="1"/>
    <col min="2" max="2" width="11.8515625" style="1" customWidth="1"/>
    <col min="3" max="3" width="12.140625" style="1" customWidth="1"/>
    <col min="4" max="4" width="11.8515625" style="1" customWidth="1"/>
    <col min="5" max="5" width="12.421875" style="1" customWidth="1"/>
    <col min="6" max="6" width="11.421875" style="1" customWidth="1"/>
    <col min="7" max="7" width="13.421875" style="1" customWidth="1"/>
    <col min="8" max="8" width="13.00390625" style="1" customWidth="1"/>
    <col min="9" max="16384" width="9.140625" style="1" customWidth="1"/>
  </cols>
  <sheetData>
    <row r="1" ht="14.25" customHeight="1"/>
    <row r="2" s="3" customFormat="1" ht="18.75">
      <c r="A2" s="2" t="s">
        <v>0</v>
      </c>
    </row>
    <row r="4" spans="1:8" ht="14.25" customHeight="1">
      <c r="A4" s="51" t="s">
        <v>1</v>
      </c>
      <c r="B4" s="54" t="s">
        <v>2</v>
      </c>
      <c r="C4" s="55"/>
      <c r="D4" s="55"/>
      <c r="E4" s="55"/>
      <c r="F4" s="55"/>
      <c r="G4" s="56"/>
      <c r="H4" s="57" t="s">
        <v>3</v>
      </c>
    </row>
    <row r="5" spans="1:8" ht="27" customHeight="1">
      <c r="A5" s="53"/>
      <c r="B5" s="61" t="s">
        <v>97</v>
      </c>
      <c r="C5" s="54" t="s">
        <v>4</v>
      </c>
      <c r="D5" s="68"/>
      <c r="E5" s="61" t="s">
        <v>5</v>
      </c>
      <c r="F5" s="61" t="s">
        <v>6</v>
      </c>
      <c r="G5" s="61" t="s">
        <v>7</v>
      </c>
      <c r="H5" s="58"/>
    </row>
    <row r="6" spans="1:8" ht="37.5" customHeight="1">
      <c r="A6" s="52"/>
      <c r="B6" s="62"/>
      <c r="C6" s="6" t="s">
        <v>8</v>
      </c>
      <c r="D6" s="7" t="s">
        <v>9</v>
      </c>
      <c r="E6" s="62"/>
      <c r="F6" s="62"/>
      <c r="G6" s="62"/>
      <c r="H6" s="59"/>
    </row>
    <row r="7" spans="1:8" ht="15.75">
      <c r="A7" s="5">
        <v>1</v>
      </c>
      <c r="B7" s="5">
        <v>2</v>
      </c>
      <c r="C7" s="6">
        <v>3</v>
      </c>
      <c r="D7" s="4">
        <v>4</v>
      </c>
      <c r="E7" s="8">
        <v>5</v>
      </c>
      <c r="F7" s="8">
        <v>6</v>
      </c>
      <c r="G7" s="9">
        <v>7</v>
      </c>
      <c r="H7" s="8">
        <v>8</v>
      </c>
    </row>
    <row r="8" spans="1:8" ht="15.75">
      <c r="A8" s="10" t="s">
        <v>10</v>
      </c>
      <c r="B8" s="11">
        <v>21770.237</v>
      </c>
      <c r="C8" s="11">
        <v>60.195</v>
      </c>
      <c r="D8" s="12">
        <f>8639.317+30</f>
        <v>8669.317</v>
      </c>
      <c r="E8" s="11">
        <f aca="true" t="shared" si="0" ref="E8:E16">C8+D8</f>
        <v>8729.511999999999</v>
      </c>
      <c r="F8" s="11"/>
      <c r="G8" s="13">
        <f aca="true" t="shared" si="1" ref="G8:G16">B8+D8</f>
        <v>30439.554</v>
      </c>
      <c r="H8" s="14">
        <f aca="true" t="shared" si="2" ref="H8:H16">(B8+D8)/(B$17+D$17)*100</f>
        <v>24.82339089225903</v>
      </c>
    </row>
    <row r="9" spans="1:8" ht="15.75">
      <c r="A9" s="10" t="s">
        <v>11</v>
      </c>
      <c r="B9" s="11">
        <v>12570.677</v>
      </c>
      <c r="C9" s="11">
        <v>1004.139</v>
      </c>
      <c r="D9" s="12">
        <f>11662.652+304.621+233.816+1149.404+40</f>
        <v>13390.493</v>
      </c>
      <c r="E9" s="11">
        <f t="shared" si="0"/>
        <v>14394.632</v>
      </c>
      <c r="F9" s="11"/>
      <c r="G9" s="13">
        <f t="shared" si="1"/>
        <v>25961.17</v>
      </c>
      <c r="H9" s="14">
        <f t="shared" si="2"/>
        <v>21.17127836138428</v>
      </c>
    </row>
    <row r="10" spans="1:8" ht="15.75">
      <c r="A10" s="10" t="s">
        <v>12</v>
      </c>
      <c r="B10" s="11">
        <v>23655.847</v>
      </c>
      <c r="C10" s="11">
        <v>2854.361</v>
      </c>
      <c r="D10" s="12">
        <f>3321.289+23.6-0.025+24.912+219.801+96.236</f>
        <v>3685.8129999999996</v>
      </c>
      <c r="E10" s="11">
        <f t="shared" si="0"/>
        <v>6540.173999999999</v>
      </c>
      <c r="F10" s="11"/>
      <c r="G10" s="13">
        <f t="shared" si="1"/>
        <v>27341.66</v>
      </c>
      <c r="H10" s="14">
        <f t="shared" si="2"/>
        <v>22.297064990611986</v>
      </c>
    </row>
    <row r="11" spans="1:8" ht="15.75">
      <c r="A11" s="10" t="s">
        <v>13</v>
      </c>
      <c r="B11" s="15">
        <v>385.849</v>
      </c>
      <c r="C11" s="15"/>
      <c r="D11" s="12">
        <v>55.65</v>
      </c>
      <c r="E11" s="11">
        <f t="shared" si="0"/>
        <v>55.65</v>
      </c>
      <c r="F11" s="11"/>
      <c r="G11" s="13">
        <f t="shared" si="1"/>
        <v>441.49899999999997</v>
      </c>
      <c r="H11" s="14">
        <f t="shared" si="2"/>
        <v>0.3600414860067092</v>
      </c>
    </row>
    <row r="12" spans="1:8" ht="15.75">
      <c r="A12" s="10" t="s">
        <v>14</v>
      </c>
      <c r="B12" s="15">
        <f>976.824-4.56</f>
        <v>972.264</v>
      </c>
      <c r="C12" s="11"/>
      <c r="D12" s="12">
        <v>6.24</v>
      </c>
      <c r="E12" s="11">
        <f t="shared" si="0"/>
        <v>6.24</v>
      </c>
      <c r="F12" s="11"/>
      <c r="G12" s="13">
        <f t="shared" si="1"/>
        <v>978.504</v>
      </c>
      <c r="H12" s="14">
        <f t="shared" si="2"/>
        <v>0.7979679098333383</v>
      </c>
    </row>
    <row r="13" spans="1:8" ht="15.75">
      <c r="A13" s="10" t="s">
        <v>15</v>
      </c>
      <c r="B13" s="11">
        <v>1477.759</v>
      </c>
      <c r="C13" s="16"/>
      <c r="D13" s="12">
        <f>138.52+46.693</f>
        <v>185.21300000000002</v>
      </c>
      <c r="E13" s="11">
        <f t="shared" si="0"/>
        <v>185.21300000000002</v>
      </c>
      <c r="F13" s="11">
        <v>131.6</v>
      </c>
      <c r="G13" s="13">
        <f t="shared" si="1"/>
        <v>1662.972</v>
      </c>
      <c r="H13" s="14">
        <f t="shared" si="2"/>
        <v>1.356150093358194</v>
      </c>
    </row>
    <row r="14" spans="1:8" ht="15.75">
      <c r="A14" s="10" t="s">
        <v>16</v>
      </c>
      <c r="B14" s="11">
        <v>20466.559</v>
      </c>
      <c r="C14" s="11"/>
      <c r="D14" s="12">
        <f>196.649+743.706+4724.86</f>
        <v>5665.215</v>
      </c>
      <c r="E14" s="11">
        <f t="shared" si="0"/>
        <v>5665.215</v>
      </c>
      <c r="F14" s="11">
        <v>11661.786</v>
      </c>
      <c r="G14" s="13">
        <f t="shared" si="1"/>
        <v>26131.774</v>
      </c>
      <c r="H14" s="14">
        <f t="shared" si="2"/>
        <v>21.3104055568676</v>
      </c>
    </row>
    <row r="15" spans="1:8" ht="15.75">
      <c r="A15" s="10" t="s">
        <v>17</v>
      </c>
      <c r="B15" s="11">
        <v>1488.743</v>
      </c>
      <c r="C15" s="11">
        <v>300.535</v>
      </c>
      <c r="D15" s="12">
        <f>1509.956+3892</f>
        <v>5401.956</v>
      </c>
      <c r="E15" s="11">
        <f t="shared" si="0"/>
        <v>5702.491</v>
      </c>
      <c r="F15" s="11"/>
      <c r="G15" s="13">
        <f t="shared" si="1"/>
        <v>6890.6990000000005</v>
      </c>
      <c r="H15" s="14">
        <f t="shared" si="2"/>
        <v>5.619350230883752</v>
      </c>
    </row>
    <row r="16" spans="1:8" ht="30" customHeight="1">
      <c r="A16" s="17" t="s">
        <v>18</v>
      </c>
      <c r="B16" s="11">
        <f>1090.728+386.189+912.173+4.56</f>
        <v>2393.65</v>
      </c>
      <c r="C16" s="11">
        <v>78.84</v>
      </c>
      <c r="D16" s="12">
        <f>273.705+60.361+48.932</f>
        <v>382.998</v>
      </c>
      <c r="E16" s="11">
        <f t="shared" si="0"/>
        <v>461.83799999999997</v>
      </c>
      <c r="F16" s="11"/>
      <c r="G16" s="13">
        <f t="shared" si="1"/>
        <v>2776.648</v>
      </c>
      <c r="H16" s="14">
        <f t="shared" si="2"/>
        <v>2.2643504787950985</v>
      </c>
    </row>
    <row r="17" spans="1:8" ht="26.25" customHeight="1">
      <c r="A17" s="18" t="s">
        <v>19</v>
      </c>
      <c r="B17" s="19">
        <f aca="true" t="shared" si="3" ref="B17:H17">SUM(B8:B16)</f>
        <v>85181.585</v>
      </c>
      <c r="C17" s="19">
        <f t="shared" si="3"/>
        <v>4298.07</v>
      </c>
      <c r="D17" s="20">
        <f t="shared" si="3"/>
        <v>37442.895</v>
      </c>
      <c r="E17" s="19">
        <f t="shared" si="3"/>
        <v>41740.965000000004</v>
      </c>
      <c r="F17" s="19">
        <f t="shared" si="3"/>
        <v>11793.386</v>
      </c>
      <c r="G17" s="21">
        <f t="shared" si="3"/>
        <v>122624.48</v>
      </c>
      <c r="H17" s="14">
        <f t="shared" si="3"/>
        <v>99.99999999999999</v>
      </c>
    </row>
    <row r="18" ht="15.75">
      <c r="B18" s="22"/>
    </row>
    <row r="19" s="3" customFormat="1" ht="18.75">
      <c r="A19" s="2" t="s">
        <v>20</v>
      </c>
    </row>
    <row r="20" ht="15.75">
      <c r="A20" s="23"/>
    </row>
    <row r="21" spans="1:8" ht="14.25" customHeight="1">
      <c r="A21" s="51" t="s">
        <v>1</v>
      </c>
      <c r="B21" s="54" t="s">
        <v>2</v>
      </c>
      <c r="C21" s="55"/>
      <c r="D21" s="55"/>
      <c r="E21" s="55"/>
      <c r="F21" s="55"/>
      <c r="G21" s="56"/>
      <c r="H21" s="57" t="s">
        <v>21</v>
      </c>
    </row>
    <row r="22" spans="1:8" ht="15.75">
      <c r="A22" s="53"/>
      <c r="B22" s="61" t="s">
        <v>97</v>
      </c>
      <c r="C22" s="54" t="s">
        <v>4</v>
      </c>
      <c r="D22" s="60"/>
      <c r="E22" s="61" t="s">
        <v>5</v>
      </c>
      <c r="F22" s="61" t="s">
        <v>22</v>
      </c>
      <c r="G22" s="61" t="s">
        <v>7</v>
      </c>
      <c r="H22" s="58"/>
    </row>
    <row r="23" spans="1:8" ht="51" customHeight="1">
      <c r="A23" s="52"/>
      <c r="B23" s="62"/>
      <c r="C23" s="6" t="s">
        <v>8</v>
      </c>
      <c r="D23" s="7" t="s">
        <v>9</v>
      </c>
      <c r="E23" s="62"/>
      <c r="F23" s="62"/>
      <c r="G23" s="62"/>
      <c r="H23" s="59"/>
    </row>
    <row r="24" spans="1:8" ht="15.75">
      <c r="A24" s="5">
        <v>1</v>
      </c>
      <c r="B24" s="5">
        <v>2</v>
      </c>
      <c r="C24" s="6">
        <v>3</v>
      </c>
      <c r="D24" s="6">
        <v>4</v>
      </c>
      <c r="E24" s="24">
        <v>5</v>
      </c>
      <c r="F24" s="8">
        <v>6</v>
      </c>
      <c r="G24" s="5">
        <v>7</v>
      </c>
      <c r="H24" s="8">
        <v>8</v>
      </c>
    </row>
    <row r="25" spans="1:8" ht="15.75">
      <c r="A25" s="17" t="s">
        <v>23</v>
      </c>
      <c r="B25" s="11">
        <f>39440.767+8728.613</f>
        <v>48169.38</v>
      </c>
      <c r="C25" s="15">
        <f>1525.717+400.614</f>
        <v>1926.3310000000001</v>
      </c>
      <c r="D25" s="11"/>
      <c r="E25" s="12">
        <f aca="true" t="shared" si="4" ref="E25:E48">C25+D25</f>
        <v>1926.3310000000001</v>
      </c>
      <c r="F25" s="11"/>
      <c r="G25" s="11">
        <f aca="true" t="shared" si="5" ref="G25:G48">B25+D25</f>
        <v>48169.38</v>
      </c>
      <c r="H25" s="14">
        <f aca="true" t="shared" si="6" ref="H25:H49">(B25+D25)/(B$49+D$49)*100</f>
        <v>39.28202590543095</v>
      </c>
    </row>
    <row r="26" spans="1:8" ht="62.25" customHeight="1">
      <c r="A26" s="17" t="s">
        <v>24</v>
      </c>
      <c r="B26" s="11">
        <v>5217.378</v>
      </c>
      <c r="C26" s="15">
        <v>16.531</v>
      </c>
      <c r="D26" s="11"/>
      <c r="E26" s="12">
        <f t="shared" si="4"/>
        <v>16.531</v>
      </c>
      <c r="F26" s="11"/>
      <c r="G26" s="11">
        <f t="shared" si="5"/>
        <v>5217.378</v>
      </c>
      <c r="H26" s="14">
        <f t="shared" si="6"/>
        <v>4.254760550258806</v>
      </c>
    </row>
    <row r="27" spans="1:8" ht="15.75">
      <c r="A27" s="10" t="s">
        <v>25</v>
      </c>
      <c r="B27" s="11">
        <f>1963.978-255.134</f>
        <v>1708.844</v>
      </c>
      <c r="C27" s="15">
        <v>1131.68</v>
      </c>
      <c r="D27" s="11"/>
      <c r="E27" s="12">
        <f t="shared" si="4"/>
        <v>1131.68</v>
      </c>
      <c r="F27" s="11"/>
      <c r="G27" s="11">
        <f t="shared" si="5"/>
        <v>1708.844</v>
      </c>
      <c r="H27" s="14">
        <f t="shared" si="6"/>
        <v>1.3935586108091955</v>
      </c>
    </row>
    <row r="28" spans="1:8" ht="63" customHeight="1">
      <c r="A28" s="17" t="s">
        <v>26</v>
      </c>
      <c r="B28" s="11">
        <f>7536.99+238.782+109.516-385.849-523.19-198.5-0.002+4.56</f>
        <v>6782.307</v>
      </c>
      <c r="C28" s="15">
        <f>100.886+20.36+873.53</f>
        <v>994.776</v>
      </c>
      <c r="D28" s="11"/>
      <c r="E28" s="12">
        <f t="shared" si="4"/>
        <v>994.776</v>
      </c>
      <c r="F28" s="11"/>
      <c r="G28" s="11">
        <f t="shared" si="5"/>
        <v>6782.307</v>
      </c>
      <c r="H28" s="14">
        <f t="shared" si="6"/>
        <v>5.530956787747438</v>
      </c>
    </row>
    <row r="29" spans="1:8" ht="15.75">
      <c r="A29" s="17" t="s">
        <v>13</v>
      </c>
      <c r="B29" s="15">
        <v>385.849</v>
      </c>
      <c r="C29" s="15"/>
      <c r="D29" s="11"/>
      <c r="E29" s="12">
        <f t="shared" si="4"/>
        <v>0</v>
      </c>
      <c r="F29" s="11"/>
      <c r="G29" s="11">
        <f t="shared" si="5"/>
        <v>385.849</v>
      </c>
      <c r="H29" s="14">
        <f t="shared" si="6"/>
        <v>0.31465903056224986</v>
      </c>
    </row>
    <row r="30" spans="1:8" ht="15.75">
      <c r="A30" s="17" t="s">
        <v>27</v>
      </c>
      <c r="B30" s="15">
        <f>976.824-4.56</f>
        <v>972.264</v>
      </c>
      <c r="C30" s="15"/>
      <c r="D30" s="11"/>
      <c r="E30" s="12">
        <f t="shared" si="4"/>
        <v>0</v>
      </c>
      <c r="F30" s="11"/>
      <c r="G30" s="11">
        <f t="shared" si="5"/>
        <v>972.264</v>
      </c>
      <c r="H30" s="14">
        <f t="shared" si="6"/>
        <v>0.7928792032390269</v>
      </c>
    </row>
    <row r="31" spans="1:8" ht="15.75">
      <c r="A31" s="10" t="s">
        <v>28</v>
      </c>
      <c r="B31" s="11">
        <f>1.305-0.06</f>
        <v>1.2449999999999999</v>
      </c>
      <c r="C31" s="15">
        <v>6.294</v>
      </c>
      <c r="D31" s="11"/>
      <c r="E31" s="12">
        <f t="shared" si="4"/>
        <v>6.294</v>
      </c>
      <c r="F31" s="11"/>
      <c r="G31" s="11">
        <f t="shared" si="5"/>
        <v>1.2449999999999999</v>
      </c>
      <c r="H31" s="14">
        <f t="shared" si="6"/>
        <v>0.001015294825307312</v>
      </c>
    </row>
    <row r="32" spans="1:8" s="23" customFormat="1" ht="15.75">
      <c r="A32" s="17" t="s">
        <v>29</v>
      </c>
      <c r="B32" s="11"/>
      <c r="C32" s="15"/>
      <c r="D32" s="11">
        <v>929.987</v>
      </c>
      <c r="E32" s="12">
        <f t="shared" si="4"/>
        <v>929.987</v>
      </c>
      <c r="F32" s="11"/>
      <c r="G32" s="11">
        <f t="shared" si="5"/>
        <v>929.987</v>
      </c>
      <c r="H32" s="14">
        <f t="shared" si="6"/>
        <v>0.7584024005647159</v>
      </c>
    </row>
    <row r="33" spans="1:8" s="23" customFormat="1" ht="15.75">
      <c r="A33" s="17" t="s">
        <v>30</v>
      </c>
      <c r="B33" s="11"/>
      <c r="C33" s="25">
        <v>190.637</v>
      </c>
      <c r="D33" s="11">
        <f>15765.313-929.987+93.6-0.025-93.475</f>
        <v>14835.426000000001</v>
      </c>
      <c r="E33" s="12">
        <f t="shared" si="4"/>
        <v>15026.063000000002</v>
      </c>
      <c r="F33" s="11"/>
      <c r="G33" s="11">
        <f t="shared" si="5"/>
        <v>14835.426000000001</v>
      </c>
      <c r="H33" s="14">
        <f t="shared" si="6"/>
        <v>12.098258031349042</v>
      </c>
    </row>
    <row r="34" spans="1:8" s="23" customFormat="1" ht="15.75">
      <c r="A34" s="17" t="s">
        <v>31</v>
      </c>
      <c r="B34" s="11"/>
      <c r="C34" s="25"/>
      <c r="D34" s="11">
        <v>6854.999</v>
      </c>
      <c r="E34" s="12">
        <f t="shared" si="4"/>
        <v>6854.999</v>
      </c>
      <c r="F34" s="11"/>
      <c r="G34" s="11">
        <f t="shared" si="5"/>
        <v>6854.999</v>
      </c>
      <c r="H34" s="14">
        <f t="shared" si="6"/>
        <v>5.590236957579759</v>
      </c>
    </row>
    <row r="35" spans="1:8" s="23" customFormat="1" ht="31.5">
      <c r="A35" s="17" t="s">
        <v>32</v>
      </c>
      <c r="B35" s="11"/>
      <c r="C35" s="25"/>
      <c r="D35" s="11">
        <f>2495.814+304.621+233.816+1149.404</f>
        <v>4183.655</v>
      </c>
      <c r="E35" s="12">
        <f t="shared" si="4"/>
        <v>4183.655</v>
      </c>
      <c r="F35" s="11">
        <f>F42+F45+F46+F47</f>
        <v>0</v>
      </c>
      <c r="G35" s="11">
        <f t="shared" si="5"/>
        <v>4183.655</v>
      </c>
      <c r="H35" s="14">
        <f t="shared" si="6"/>
        <v>3.411761664555071</v>
      </c>
    </row>
    <row r="36" spans="1:8" s="23" customFormat="1" ht="31.5">
      <c r="A36" s="17" t="s">
        <v>33</v>
      </c>
      <c r="B36" s="11"/>
      <c r="C36" s="25"/>
      <c r="D36" s="11">
        <f>555.451+96.236+219.801+24.912</f>
        <v>896.4000000000001</v>
      </c>
      <c r="E36" s="12">
        <f t="shared" si="4"/>
        <v>896.4000000000001</v>
      </c>
      <c r="F36" s="11">
        <f>F48</f>
        <v>0</v>
      </c>
      <c r="G36" s="11">
        <f t="shared" si="5"/>
        <v>896.4000000000001</v>
      </c>
      <c r="H36" s="14">
        <f t="shared" si="6"/>
        <v>0.7310122742212648</v>
      </c>
    </row>
    <row r="37" spans="1:8" s="23" customFormat="1" ht="31.5">
      <c r="A37" s="17" t="s">
        <v>34</v>
      </c>
      <c r="B37" s="11"/>
      <c r="C37" s="25">
        <v>31.821</v>
      </c>
      <c r="D37" s="11">
        <v>3892</v>
      </c>
      <c r="E37" s="12">
        <f t="shared" si="4"/>
        <v>3923.821</v>
      </c>
      <c r="F37" s="11">
        <f>F43+F44</f>
        <v>0</v>
      </c>
      <c r="G37" s="11">
        <f t="shared" si="5"/>
        <v>3892</v>
      </c>
      <c r="H37" s="14">
        <f t="shared" si="6"/>
        <v>3.1739176386313726</v>
      </c>
    </row>
    <row r="38" spans="1:8" s="23" customFormat="1" ht="15.75">
      <c r="A38" s="17" t="s">
        <v>35</v>
      </c>
      <c r="B38" s="11">
        <v>20466.559</v>
      </c>
      <c r="C38" s="25"/>
      <c r="D38" s="11"/>
      <c r="E38" s="12">
        <f t="shared" si="4"/>
        <v>0</v>
      </c>
      <c r="F38" s="11">
        <v>11661.786</v>
      </c>
      <c r="G38" s="11">
        <f t="shared" si="5"/>
        <v>20466.559</v>
      </c>
      <c r="H38" s="14">
        <f t="shared" si="6"/>
        <v>16.690434895218313</v>
      </c>
    </row>
    <row r="39" spans="1:8" s="23" customFormat="1" ht="31.5">
      <c r="A39" s="17" t="s">
        <v>36</v>
      </c>
      <c r="B39" s="11">
        <v>1477.759</v>
      </c>
      <c r="C39" s="25"/>
      <c r="D39" s="11"/>
      <c r="E39" s="12">
        <f t="shared" si="4"/>
        <v>0</v>
      </c>
      <c r="F39" s="11">
        <v>131.6</v>
      </c>
      <c r="G39" s="11">
        <f t="shared" si="5"/>
        <v>1477.759</v>
      </c>
      <c r="H39" s="14">
        <f t="shared" si="6"/>
        <v>1.205109289760087</v>
      </c>
    </row>
    <row r="40" spans="1:8" s="23" customFormat="1" ht="31.5">
      <c r="A40" s="17" t="s">
        <v>37</v>
      </c>
      <c r="B40" s="11"/>
      <c r="C40" s="25"/>
      <c r="D40" s="11">
        <f>196.649+4724.86+743.706</f>
        <v>5665.215</v>
      </c>
      <c r="E40" s="12">
        <f t="shared" si="4"/>
        <v>5665.215</v>
      </c>
      <c r="F40" s="11"/>
      <c r="G40" s="11">
        <f t="shared" si="5"/>
        <v>5665.215</v>
      </c>
      <c r="H40" s="14">
        <f t="shared" si="6"/>
        <v>4.619970661649289</v>
      </c>
    </row>
    <row r="41" spans="1:8" s="23" customFormat="1" ht="31.5">
      <c r="A41" s="17" t="s">
        <v>38</v>
      </c>
      <c r="B41" s="11"/>
      <c r="C41" s="25"/>
      <c r="D41" s="11">
        <f>46.693+138.52</f>
        <v>185.21300000000002</v>
      </c>
      <c r="E41" s="12">
        <f t="shared" si="4"/>
        <v>185.21300000000002</v>
      </c>
      <c r="F41" s="11"/>
      <c r="G41" s="11">
        <f t="shared" si="5"/>
        <v>185.21300000000002</v>
      </c>
      <c r="H41" s="14">
        <f t="shared" si="6"/>
        <v>0.151040803598107</v>
      </c>
    </row>
    <row r="42" spans="1:8" s="23" customFormat="1" ht="31.5">
      <c r="A42" s="17" t="s">
        <v>39</v>
      </c>
      <c r="B42" s="11"/>
      <c r="C42" s="15"/>
      <c r="D42" s="11">
        <v>3075.561</v>
      </c>
      <c r="E42" s="12">
        <f t="shared" si="4"/>
        <v>3075.561</v>
      </c>
      <c r="F42" s="11"/>
      <c r="G42" s="11">
        <f t="shared" si="5"/>
        <v>3075.561</v>
      </c>
      <c r="H42" s="14">
        <f t="shared" si="6"/>
        <v>2.50811338812609</v>
      </c>
    </row>
    <row r="43" spans="1:8" s="23" customFormat="1" ht="31.5">
      <c r="A43" s="17" t="s">
        <v>40</v>
      </c>
      <c r="B43" s="11"/>
      <c r="C43" s="26"/>
      <c r="D43" s="11">
        <v>855.663</v>
      </c>
      <c r="E43" s="12">
        <f t="shared" si="4"/>
        <v>855.663</v>
      </c>
      <c r="F43" s="11"/>
      <c r="G43" s="11">
        <f t="shared" si="5"/>
        <v>855.663</v>
      </c>
      <c r="H43" s="14">
        <f t="shared" si="6"/>
        <v>0.6977913382384985</v>
      </c>
    </row>
    <row r="44" spans="1:8" s="23" customFormat="1" ht="31.5">
      <c r="A44" s="17" t="s">
        <v>41</v>
      </c>
      <c r="B44" s="11"/>
      <c r="C44" s="15"/>
      <c r="D44" s="11">
        <v>183.289</v>
      </c>
      <c r="E44" s="12">
        <f t="shared" si="4"/>
        <v>183.289</v>
      </c>
      <c r="F44" s="11"/>
      <c r="G44" s="11">
        <f t="shared" si="5"/>
        <v>183.289</v>
      </c>
      <c r="H44" s="14">
        <f t="shared" si="6"/>
        <v>0.14947178573152764</v>
      </c>
    </row>
    <row r="45" spans="1:8" s="23" customFormat="1" ht="47.25" customHeight="1">
      <c r="A45" s="17" t="s">
        <v>42</v>
      </c>
      <c r="B45" s="11"/>
      <c r="C45" s="25"/>
      <c r="D45" s="11">
        <v>1197.398</v>
      </c>
      <c r="E45" s="12">
        <f t="shared" si="4"/>
        <v>1197.398</v>
      </c>
      <c r="F45" s="11"/>
      <c r="G45" s="11">
        <f t="shared" si="5"/>
        <v>1197.398</v>
      </c>
      <c r="H45" s="14">
        <f t="shared" si="6"/>
        <v>0.9764754965729516</v>
      </c>
    </row>
    <row r="46" spans="1:8" s="23" customFormat="1" ht="47.25">
      <c r="A46" s="17" t="s">
        <v>43</v>
      </c>
      <c r="B46" s="11"/>
      <c r="C46" s="25"/>
      <c r="D46" s="11">
        <v>1085.72</v>
      </c>
      <c r="E46" s="12">
        <f t="shared" si="4"/>
        <v>1085.72</v>
      </c>
      <c r="F46" s="11"/>
      <c r="G46" s="11">
        <f t="shared" si="5"/>
        <v>1085.72</v>
      </c>
      <c r="H46" s="14">
        <f t="shared" si="6"/>
        <v>0.8854023274961085</v>
      </c>
    </row>
    <row r="47" spans="1:8" s="23" customFormat="1" ht="31.5">
      <c r="A47" s="17" t="s">
        <v>44</v>
      </c>
      <c r="B47" s="11"/>
      <c r="C47" s="25"/>
      <c r="D47" s="11">
        <v>2173.413</v>
      </c>
      <c r="E47" s="12">
        <f t="shared" si="4"/>
        <v>2173.413</v>
      </c>
      <c r="F47" s="11"/>
      <c r="G47" s="11">
        <f t="shared" si="5"/>
        <v>2173.413</v>
      </c>
      <c r="H47" s="14">
        <f t="shared" si="6"/>
        <v>1.772413632253527</v>
      </c>
    </row>
    <row r="48" spans="1:8" s="23" customFormat="1" ht="31.5">
      <c r="A48" s="17" t="s">
        <v>45</v>
      </c>
      <c r="B48" s="11"/>
      <c r="C48" s="15">
        <v>16.892</v>
      </c>
      <c r="D48" s="11">
        <f>199.997+28+90</f>
        <v>317.997</v>
      </c>
      <c r="E48" s="12">
        <f t="shared" si="4"/>
        <v>334.889</v>
      </c>
      <c r="F48" s="11"/>
      <c r="G48" s="11">
        <f t="shared" si="5"/>
        <v>317.997</v>
      </c>
      <c r="H48" s="14">
        <f t="shared" si="6"/>
        <v>0.2593258703319272</v>
      </c>
    </row>
    <row r="49" spans="1:8" s="23" customFormat="1" ht="15.75">
      <c r="A49" s="18" t="s">
        <v>46</v>
      </c>
      <c r="B49" s="19">
        <f>SUM(B25:B48)</f>
        <v>85181.585</v>
      </c>
      <c r="C49" s="19">
        <f>SUM(C25:C41)</f>
        <v>4298.07</v>
      </c>
      <c r="D49" s="19">
        <f>SUM(D25:D41)</f>
        <v>37442.895000000004</v>
      </c>
      <c r="E49" s="19">
        <f>SUM(E25:E41)</f>
        <v>41740.96500000001</v>
      </c>
      <c r="F49" s="19">
        <f>SUM(F25:F41)</f>
        <v>11793.386</v>
      </c>
      <c r="G49" s="19">
        <f>SUM(G25:G41)</f>
        <v>122624.48000000001</v>
      </c>
      <c r="H49" s="14">
        <f t="shared" si="6"/>
        <v>100</v>
      </c>
    </row>
    <row r="51" s="3" customFormat="1" ht="18.75">
      <c r="A51" s="2" t="s">
        <v>47</v>
      </c>
    </row>
    <row r="52" ht="15.75">
      <c r="A52" s="23"/>
    </row>
    <row r="53" spans="1:8" ht="14.25" customHeight="1">
      <c r="A53" s="51" t="s">
        <v>1</v>
      </c>
      <c r="B53" s="54" t="s">
        <v>2</v>
      </c>
      <c r="C53" s="68"/>
      <c r="D53" s="68"/>
      <c r="E53" s="68"/>
      <c r="F53" s="60"/>
      <c r="G53" s="57" t="s">
        <v>48</v>
      </c>
      <c r="H53" s="4"/>
    </row>
    <row r="54" spans="1:8" ht="14.25" customHeight="1">
      <c r="A54" s="53"/>
      <c r="B54" s="61" t="s">
        <v>97</v>
      </c>
      <c r="C54" s="54" t="s">
        <v>4</v>
      </c>
      <c r="D54" s="60"/>
      <c r="E54" s="61" t="s">
        <v>5</v>
      </c>
      <c r="F54" s="61" t="s">
        <v>7</v>
      </c>
      <c r="G54" s="58"/>
      <c r="H54" s="51"/>
    </row>
    <row r="55" spans="1:8" ht="56.25" customHeight="1">
      <c r="A55" s="52"/>
      <c r="B55" s="62"/>
      <c r="C55" s="6" t="s">
        <v>8</v>
      </c>
      <c r="D55" s="7" t="s">
        <v>9</v>
      </c>
      <c r="E55" s="62"/>
      <c r="F55" s="62"/>
      <c r="G55" s="59"/>
      <c r="H55" s="52"/>
    </row>
    <row r="56" spans="1:8" ht="15.75">
      <c r="A56" s="5">
        <v>1</v>
      </c>
      <c r="B56" s="5">
        <v>2</v>
      </c>
      <c r="C56" s="6">
        <v>3</v>
      </c>
      <c r="D56" s="6">
        <v>4</v>
      </c>
      <c r="E56" s="8">
        <v>5</v>
      </c>
      <c r="F56" s="5">
        <v>6</v>
      </c>
      <c r="G56" s="8">
        <v>7</v>
      </c>
      <c r="H56" s="5"/>
    </row>
    <row r="57" spans="1:8" ht="15.75">
      <c r="A57" s="17" t="s">
        <v>23</v>
      </c>
      <c r="B57" s="11">
        <f>13612.67+3033.038</f>
        <v>16645.708</v>
      </c>
      <c r="C57" s="11"/>
      <c r="D57" s="11"/>
      <c r="E57" s="11"/>
      <c r="F57" s="11">
        <f aca="true" t="shared" si="7" ref="F57:F64">B57+D57</f>
        <v>16645.708</v>
      </c>
      <c r="G57" s="14">
        <f aca="true" t="shared" si="8" ref="G57:G64">(B57+D57)/(B$65+D$65)*100</f>
        <v>54.684467453103935</v>
      </c>
      <c r="H57" s="11"/>
    </row>
    <row r="58" spans="1:8" ht="47.25">
      <c r="A58" s="17" t="s">
        <v>49</v>
      </c>
      <c r="B58" s="11">
        <f>1201.47+16.533+354.451+143.875+28.374-0.001</f>
        <v>1744.702</v>
      </c>
      <c r="C58" s="11"/>
      <c r="D58" s="11"/>
      <c r="E58" s="11">
        <f aca="true" t="shared" si="9" ref="E58:E64">C58+D58</f>
        <v>0</v>
      </c>
      <c r="F58" s="11">
        <f t="shared" si="7"/>
        <v>1744.702</v>
      </c>
      <c r="G58" s="14">
        <f t="shared" si="8"/>
        <v>5.731693703527982</v>
      </c>
      <c r="H58" s="11"/>
    </row>
    <row r="59" spans="1:8" ht="15.75">
      <c r="A59" s="10" t="s">
        <v>25</v>
      </c>
      <c r="B59" s="11">
        <v>739.164</v>
      </c>
      <c r="C59" s="11">
        <f>42.026</f>
        <v>42.026</v>
      </c>
      <c r="D59" s="11"/>
      <c r="E59" s="11">
        <f t="shared" si="9"/>
        <v>42.026</v>
      </c>
      <c r="F59" s="11">
        <f t="shared" si="7"/>
        <v>739.164</v>
      </c>
      <c r="G59" s="14">
        <f t="shared" si="8"/>
        <v>2.4283010191279413</v>
      </c>
      <c r="H59" s="11"/>
    </row>
    <row r="60" spans="1:8" ht="47.25">
      <c r="A60" s="17" t="s">
        <v>50</v>
      </c>
      <c r="B60" s="11">
        <f>2582.776+16.107+41.78</f>
        <v>2640.663</v>
      </c>
      <c r="C60" s="11">
        <f>15.247+2.692</f>
        <v>17.939</v>
      </c>
      <c r="D60" s="11"/>
      <c r="E60" s="11">
        <f t="shared" si="9"/>
        <v>17.939</v>
      </c>
      <c r="F60" s="11">
        <f t="shared" si="7"/>
        <v>2640.663</v>
      </c>
      <c r="G60" s="14">
        <f t="shared" si="8"/>
        <v>8.675104109606863</v>
      </c>
      <c r="H60" s="11"/>
    </row>
    <row r="61" spans="1:8" ht="15.75">
      <c r="A61" s="10" t="s">
        <v>28</v>
      </c>
      <c r="B61" s="11"/>
      <c r="C61" s="11">
        <v>0.23</v>
      </c>
      <c r="D61" s="11"/>
      <c r="E61" s="11">
        <f t="shared" si="9"/>
        <v>0.23</v>
      </c>
      <c r="F61" s="11">
        <f t="shared" si="7"/>
        <v>0</v>
      </c>
      <c r="G61" s="14">
        <f t="shared" si="8"/>
        <v>0</v>
      </c>
      <c r="H61" s="11"/>
    </row>
    <row r="62" spans="1:8" ht="15.75">
      <c r="A62" s="10" t="s">
        <v>51</v>
      </c>
      <c r="B62" s="11"/>
      <c r="C62" s="11"/>
      <c r="D62" s="11">
        <f>4451.342+907.823+44.663+20.683+1430.488</f>
        <v>6854.999</v>
      </c>
      <c r="E62" s="11">
        <f t="shared" si="9"/>
        <v>6854.999</v>
      </c>
      <c r="F62" s="11">
        <f t="shared" si="7"/>
        <v>6854.999</v>
      </c>
      <c r="G62" s="14">
        <f t="shared" si="8"/>
        <v>22.520037580051273</v>
      </c>
      <c r="H62" s="11"/>
    </row>
    <row r="63" spans="1:8" ht="15.75">
      <c r="A63" s="17" t="s">
        <v>29</v>
      </c>
      <c r="B63" s="11"/>
      <c r="C63" s="11"/>
      <c r="D63" s="11">
        <f>229.8+700.187</f>
        <v>929.9870000000001</v>
      </c>
      <c r="E63" s="11">
        <f t="shared" si="9"/>
        <v>929.9870000000001</v>
      </c>
      <c r="F63" s="11">
        <f t="shared" si="7"/>
        <v>929.9870000000001</v>
      </c>
      <c r="G63" s="14">
        <f t="shared" si="8"/>
        <v>3.055192595791647</v>
      </c>
      <c r="H63" s="11"/>
    </row>
    <row r="64" spans="1:8" ht="15.75">
      <c r="A64" s="17" t="s">
        <v>52</v>
      </c>
      <c r="B64" s="11"/>
      <c r="C64" s="11"/>
      <c r="D64" s="11">
        <f>399.561+454.77+30</f>
        <v>884.3309999999999</v>
      </c>
      <c r="E64" s="11">
        <f t="shared" si="9"/>
        <v>884.3309999999999</v>
      </c>
      <c r="F64" s="11">
        <f t="shared" si="7"/>
        <v>884.3309999999999</v>
      </c>
      <c r="G64" s="14">
        <f t="shared" si="8"/>
        <v>2.905203538790351</v>
      </c>
      <c r="H64" s="11"/>
    </row>
    <row r="65" spans="1:8" ht="15.75">
      <c r="A65" s="18" t="s">
        <v>46</v>
      </c>
      <c r="B65" s="27">
        <f aca="true" t="shared" si="10" ref="B65:G65">SUM(B57:B64)</f>
        <v>21770.237</v>
      </c>
      <c r="C65" s="27">
        <f t="shared" si="10"/>
        <v>60.195</v>
      </c>
      <c r="D65" s="19">
        <f t="shared" si="10"/>
        <v>8669.317</v>
      </c>
      <c r="E65" s="27">
        <f t="shared" si="10"/>
        <v>8729.511999999999</v>
      </c>
      <c r="F65" s="27">
        <f t="shared" si="10"/>
        <v>30439.554</v>
      </c>
      <c r="G65" s="14">
        <f t="shared" si="10"/>
        <v>100</v>
      </c>
      <c r="H65" s="27"/>
    </row>
    <row r="68" spans="1:8" s="3" customFormat="1" ht="34.5" customHeight="1">
      <c r="A68" s="67" t="s">
        <v>53</v>
      </c>
      <c r="B68" s="67"/>
      <c r="C68" s="67"/>
      <c r="D68" s="67"/>
      <c r="E68" s="67"/>
      <c r="F68" s="67"/>
      <c r="G68" s="67"/>
      <c r="H68" s="67"/>
    </row>
    <row r="70" spans="1:8" ht="14.25" customHeight="1">
      <c r="A70" s="51" t="s">
        <v>1</v>
      </c>
      <c r="B70" s="54" t="s">
        <v>2</v>
      </c>
      <c r="C70" s="55"/>
      <c r="D70" s="55"/>
      <c r="E70" s="55"/>
      <c r="F70" s="56"/>
      <c r="G70" s="57" t="s">
        <v>48</v>
      </c>
      <c r="H70" s="4"/>
    </row>
    <row r="71" spans="1:8" ht="18.75" customHeight="1">
      <c r="A71" s="53"/>
      <c r="B71" s="61" t="s">
        <v>97</v>
      </c>
      <c r="C71" s="54" t="s">
        <v>4</v>
      </c>
      <c r="D71" s="60"/>
      <c r="E71" s="61" t="s">
        <v>5</v>
      </c>
      <c r="F71" s="61" t="s">
        <v>7</v>
      </c>
      <c r="G71" s="58"/>
      <c r="H71" s="51"/>
    </row>
    <row r="72" spans="1:8" ht="41.25" customHeight="1">
      <c r="A72" s="52"/>
      <c r="B72" s="62"/>
      <c r="C72" s="6" t="s">
        <v>8</v>
      </c>
      <c r="D72" s="7" t="s">
        <v>9</v>
      </c>
      <c r="E72" s="62"/>
      <c r="F72" s="62"/>
      <c r="G72" s="59"/>
      <c r="H72" s="52"/>
    </row>
    <row r="73" spans="1:8" ht="15.75">
      <c r="A73" s="5">
        <v>1</v>
      </c>
      <c r="B73" s="5">
        <v>2</v>
      </c>
      <c r="C73" s="6">
        <v>3</v>
      </c>
      <c r="D73" s="6">
        <v>4</v>
      </c>
      <c r="E73" s="8">
        <v>5</v>
      </c>
      <c r="F73" s="5">
        <v>6</v>
      </c>
      <c r="G73" s="8">
        <v>7</v>
      </c>
      <c r="H73" s="5"/>
    </row>
    <row r="74" spans="1:8" ht="15.75">
      <c r="A74" s="17" t="s">
        <v>23</v>
      </c>
      <c r="B74" s="11">
        <f>6488.413+1432.128</f>
        <v>7920.540999999999</v>
      </c>
      <c r="C74" s="11">
        <f>84.71+18.636</f>
        <v>103.34599999999999</v>
      </c>
      <c r="D74" s="11"/>
      <c r="E74" s="11">
        <f aca="true" t="shared" si="11" ref="E74:E84">C74+D74</f>
        <v>103.34599999999999</v>
      </c>
      <c r="F74" s="11">
        <f aca="true" t="shared" si="12" ref="F74:F84">B74+D74</f>
        <v>7920.540999999999</v>
      </c>
      <c r="G74" s="14">
        <f aca="true" t="shared" si="13" ref="G74:G84">(B74+D74)/(B$85+D$85)*100</f>
        <v>30.509183522930588</v>
      </c>
      <c r="H74" s="11"/>
    </row>
    <row r="75" spans="1:8" ht="47.25">
      <c r="A75" s="17" t="s">
        <v>54</v>
      </c>
      <c r="B75" s="11">
        <f>978.942+24.29+597.429+412.754+78.384</f>
        <v>2091.799</v>
      </c>
      <c r="C75" s="11">
        <f>4.187+2.288+9.813</f>
        <v>16.288</v>
      </c>
      <c r="D75" s="11"/>
      <c r="E75" s="11">
        <f t="shared" si="11"/>
        <v>16.288</v>
      </c>
      <c r="F75" s="11">
        <f t="shared" si="12"/>
        <v>2091.799</v>
      </c>
      <c r="G75" s="14">
        <f t="shared" si="13"/>
        <v>8.057414207449048</v>
      </c>
      <c r="H75" s="11"/>
    </row>
    <row r="76" spans="1:8" ht="15.75">
      <c r="A76" s="10" t="s">
        <v>25</v>
      </c>
      <c r="B76" s="11">
        <v>594.177</v>
      </c>
      <c r="C76" s="11">
        <v>462.707</v>
      </c>
      <c r="D76" s="11"/>
      <c r="E76" s="11">
        <f t="shared" si="11"/>
        <v>462.707</v>
      </c>
      <c r="F76" s="11">
        <f t="shared" si="12"/>
        <v>594.177</v>
      </c>
      <c r="G76" s="14">
        <f t="shared" si="13"/>
        <v>2.288714260566839</v>
      </c>
      <c r="H76" s="11"/>
    </row>
    <row r="77" spans="1:8" ht="47.25">
      <c r="A77" s="17" t="s">
        <v>50</v>
      </c>
      <c r="B77" s="11">
        <f>1939.535+7.948+15.612</f>
        <v>1963.0950000000003</v>
      </c>
      <c r="C77" s="11">
        <f>305.519+0.46+8.951</f>
        <v>314.93</v>
      </c>
      <c r="D77" s="11"/>
      <c r="E77" s="11">
        <f t="shared" si="11"/>
        <v>314.93</v>
      </c>
      <c r="F77" s="11">
        <f t="shared" si="12"/>
        <v>1963.0950000000003</v>
      </c>
      <c r="G77" s="14">
        <f t="shared" si="13"/>
        <v>7.561658430648544</v>
      </c>
      <c r="H77" s="11"/>
    </row>
    <row r="78" spans="1:8" ht="15.75">
      <c r="A78" s="17" t="s">
        <v>28</v>
      </c>
      <c r="B78" s="11">
        <v>1.065</v>
      </c>
      <c r="C78" s="11">
        <v>5.443</v>
      </c>
      <c r="D78" s="11"/>
      <c r="E78" s="11">
        <f t="shared" si="11"/>
        <v>5.443</v>
      </c>
      <c r="F78" s="11">
        <f t="shared" si="12"/>
        <v>1.065</v>
      </c>
      <c r="G78" s="14">
        <f t="shared" si="13"/>
        <v>0.004102280444217267</v>
      </c>
      <c r="H78" s="11"/>
    </row>
    <row r="79" spans="1:8" ht="15.75">
      <c r="A79" s="17" t="s">
        <v>30</v>
      </c>
      <c r="B79" s="11"/>
      <c r="C79" s="11">
        <v>101.425</v>
      </c>
      <c r="D79" s="11">
        <f>9166.839+40</f>
        <v>9206.839</v>
      </c>
      <c r="E79" s="11">
        <f t="shared" si="11"/>
        <v>9308.264</v>
      </c>
      <c r="F79" s="11">
        <f t="shared" si="12"/>
        <v>9206.839</v>
      </c>
      <c r="G79" s="14">
        <f t="shared" si="13"/>
        <v>35.46388317629753</v>
      </c>
      <c r="H79" s="11"/>
    </row>
    <row r="80" spans="1:8" ht="47.25">
      <c r="A80" s="17" t="s">
        <v>55</v>
      </c>
      <c r="B80" s="11"/>
      <c r="C80" s="11"/>
      <c r="D80" s="11">
        <f>699.354+233.816+1149.404</f>
        <v>2082.574</v>
      </c>
      <c r="E80" s="11">
        <f t="shared" si="11"/>
        <v>2082.574</v>
      </c>
      <c r="F80" s="11">
        <f t="shared" si="12"/>
        <v>2082.574</v>
      </c>
      <c r="G80" s="14">
        <f t="shared" si="13"/>
        <v>8.021880369798435</v>
      </c>
      <c r="H80" s="11"/>
    </row>
    <row r="81" spans="1:8" ht="31.5">
      <c r="A81" s="17" t="s">
        <v>44</v>
      </c>
      <c r="B81" s="11"/>
      <c r="C81" s="11"/>
      <c r="D81" s="11">
        <f>75.815+747.662+320.799</f>
        <v>1144.276</v>
      </c>
      <c r="E81" s="11">
        <f t="shared" si="11"/>
        <v>1144.276</v>
      </c>
      <c r="F81" s="11">
        <f t="shared" si="12"/>
        <v>1144.276</v>
      </c>
      <c r="G81" s="14">
        <f t="shared" si="13"/>
        <v>4.4076441855278485</v>
      </c>
      <c r="H81" s="11"/>
    </row>
    <row r="82" spans="1:8" ht="111.75" customHeight="1">
      <c r="A82" s="17" t="s">
        <v>56</v>
      </c>
      <c r="B82" s="11"/>
      <c r="C82" s="11"/>
      <c r="D82" s="11">
        <v>304.621</v>
      </c>
      <c r="E82" s="11">
        <f t="shared" si="11"/>
        <v>304.621</v>
      </c>
      <c r="F82" s="11">
        <f t="shared" si="12"/>
        <v>304.621</v>
      </c>
      <c r="G82" s="14">
        <f t="shared" si="13"/>
        <v>1.1733716161482708</v>
      </c>
      <c r="H82" s="11"/>
    </row>
    <row r="83" spans="1:8" ht="15.75">
      <c r="A83" s="17" t="s">
        <v>57</v>
      </c>
      <c r="B83" s="11"/>
      <c r="C83" s="11"/>
      <c r="D83" s="11">
        <v>171</v>
      </c>
      <c r="E83" s="11">
        <f t="shared" si="11"/>
        <v>171</v>
      </c>
      <c r="F83" s="11">
        <f t="shared" si="12"/>
        <v>171</v>
      </c>
      <c r="G83" s="14">
        <f t="shared" si="13"/>
        <v>0.6586760149869979</v>
      </c>
      <c r="H83" s="11"/>
    </row>
    <row r="84" spans="1:8" ht="47.25">
      <c r="A84" s="17" t="s">
        <v>58</v>
      </c>
      <c r="B84" s="11"/>
      <c r="C84" s="11"/>
      <c r="D84" s="11">
        <v>481.183</v>
      </c>
      <c r="E84" s="11">
        <f t="shared" si="11"/>
        <v>481.183</v>
      </c>
      <c r="F84" s="11">
        <f t="shared" si="12"/>
        <v>481.183</v>
      </c>
      <c r="G84" s="14">
        <f t="shared" si="13"/>
        <v>1.853471935201688</v>
      </c>
      <c r="H84" s="11"/>
    </row>
    <row r="85" spans="1:8" ht="15.75">
      <c r="A85" s="18" t="s">
        <v>46</v>
      </c>
      <c r="B85" s="19">
        <f>SUM(B74:B83)</f>
        <v>12570.677000000001</v>
      </c>
      <c r="C85" s="19">
        <f>SUM(C74:C84)</f>
        <v>1004.1389999999999</v>
      </c>
      <c r="D85" s="19">
        <f>SUM(D74:D84)</f>
        <v>13390.492999999999</v>
      </c>
      <c r="E85" s="19">
        <f>SUM(E74:E84)</f>
        <v>14394.631999999998</v>
      </c>
      <c r="F85" s="19">
        <f>SUM(F74:F84)</f>
        <v>25961.170000000006</v>
      </c>
      <c r="G85" s="14">
        <f>SUM(G74:G84)</f>
        <v>100</v>
      </c>
      <c r="H85" s="19"/>
    </row>
    <row r="86" spans="1:8" ht="15.75">
      <c r="A86" s="28"/>
      <c r="B86" s="29"/>
      <c r="C86" s="29"/>
      <c r="D86" s="29"/>
      <c r="E86" s="29"/>
      <c r="F86" s="29"/>
      <c r="G86" s="29"/>
      <c r="H86" s="29"/>
    </row>
    <row r="88" spans="1:7" s="3" customFormat="1" ht="34.5" customHeight="1">
      <c r="A88" s="67" t="s">
        <v>59</v>
      </c>
      <c r="B88" s="67"/>
      <c r="C88" s="67"/>
      <c r="D88" s="67"/>
      <c r="E88" s="67"/>
      <c r="F88" s="67"/>
      <c r="G88" s="67"/>
    </row>
    <row r="90" spans="1:8" ht="14.25" customHeight="1">
      <c r="A90" s="51" t="s">
        <v>1</v>
      </c>
      <c r="B90" s="54" t="s">
        <v>2</v>
      </c>
      <c r="C90" s="55"/>
      <c r="D90" s="55"/>
      <c r="E90" s="55"/>
      <c r="F90" s="56"/>
      <c r="G90" s="57" t="s">
        <v>48</v>
      </c>
      <c r="H90" s="4"/>
    </row>
    <row r="91" spans="1:8" ht="14.25" customHeight="1">
      <c r="A91" s="53"/>
      <c r="B91" s="61" t="s">
        <v>97</v>
      </c>
      <c r="C91" s="54" t="s">
        <v>4</v>
      </c>
      <c r="D91" s="60"/>
      <c r="E91" s="61" t="s">
        <v>5</v>
      </c>
      <c r="F91" s="61" t="s">
        <v>7</v>
      </c>
      <c r="G91" s="58"/>
      <c r="H91" s="51"/>
    </row>
    <row r="92" spans="1:8" ht="51.75" customHeight="1">
      <c r="A92" s="52"/>
      <c r="B92" s="62"/>
      <c r="C92" s="6" t="s">
        <v>8</v>
      </c>
      <c r="D92" s="7" t="s">
        <v>9</v>
      </c>
      <c r="E92" s="62"/>
      <c r="F92" s="62"/>
      <c r="G92" s="59"/>
      <c r="H92" s="52"/>
    </row>
    <row r="93" spans="1:8" ht="15.75">
      <c r="A93" s="5">
        <v>1</v>
      </c>
      <c r="B93" s="5">
        <v>2</v>
      </c>
      <c r="C93" s="6">
        <v>3</v>
      </c>
      <c r="D93" s="6">
        <v>4</v>
      </c>
      <c r="E93" s="8">
        <v>5</v>
      </c>
      <c r="F93" s="5">
        <v>6</v>
      </c>
      <c r="G93" s="8">
        <v>7</v>
      </c>
      <c r="H93" s="5"/>
    </row>
    <row r="94" spans="1:8" ht="15.75">
      <c r="A94" s="17" t="s">
        <v>60</v>
      </c>
      <c r="B94" s="11">
        <f>17258.305+3796.824</f>
        <v>21055.129</v>
      </c>
      <c r="C94" s="11">
        <f>1409.81+373.585</f>
        <v>1783.395</v>
      </c>
      <c r="D94" s="11"/>
      <c r="E94" s="11">
        <f aca="true" t="shared" si="14" ref="E94:E104">C94+D94</f>
        <v>1783.395</v>
      </c>
      <c r="F94" s="11">
        <f aca="true" t="shared" si="15" ref="F94:F104">B94+D94</f>
        <v>21055.129</v>
      </c>
      <c r="G94" s="14">
        <f aca="true" t="shared" si="16" ref="G94:G105">(B94+D94)/(B$105+D$105)*100</f>
        <v>77.00750064187764</v>
      </c>
      <c r="H94" s="11"/>
    </row>
    <row r="95" spans="1:8" ht="47.25">
      <c r="A95" s="17" t="s">
        <v>54</v>
      </c>
      <c r="B95" s="11">
        <f>767.695+15.146+143.235+296.098</f>
        <v>1222.174</v>
      </c>
      <c r="C95" s="11">
        <f>0.176+0.067</f>
        <v>0.243</v>
      </c>
      <c r="D95" s="11"/>
      <c r="E95" s="11">
        <f t="shared" si="14"/>
        <v>0.243</v>
      </c>
      <c r="F95" s="11">
        <f t="shared" si="15"/>
        <v>1222.174</v>
      </c>
      <c r="G95" s="14">
        <f t="shared" si="16"/>
        <v>4.470006576045493</v>
      </c>
      <c r="H95" s="11"/>
    </row>
    <row r="96" spans="1:8" ht="15.75">
      <c r="A96" s="10" t="s">
        <v>61</v>
      </c>
      <c r="B96" s="11">
        <v>146.593</v>
      </c>
      <c r="C96" s="11">
        <v>501.897</v>
      </c>
      <c r="D96" s="11"/>
      <c r="E96" s="11">
        <f t="shared" si="14"/>
        <v>501.897</v>
      </c>
      <c r="F96" s="11">
        <f t="shared" si="15"/>
        <v>146.593</v>
      </c>
      <c r="G96" s="14">
        <f t="shared" si="16"/>
        <v>0.5361525232922946</v>
      </c>
      <c r="H96" s="11"/>
    </row>
    <row r="97" spans="1:8" ht="47.25">
      <c r="A97" s="17" t="s">
        <v>50</v>
      </c>
      <c r="B97" s="11">
        <f>1174.75+7.912+49.29-0.001</f>
        <v>1231.951</v>
      </c>
      <c r="C97" s="11">
        <f>457.307+1.422-0.001</f>
        <v>458.72800000000007</v>
      </c>
      <c r="D97" s="11"/>
      <c r="E97" s="11">
        <f t="shared" si="14"/>
        <v>458.72800000000007</v>
      </c>
      <c r="F97" s="11">
        <f t="shared" si="15"/>
        <v>1231.951</v>
      </c>
      <c r="G97" s="14">
        <f t="shared" si="16"/>
        <v>4.5057651949442725</v>
      </c>
      <c r="H97" s="11"/>
    </row>
    <row r="98" spans="1:8" ht="15.75">
      <c r="A98" s="10" t="s">
        <v>28</v>
      </c>
      <c r="B98" s="11"/>
      <c r="C98" s="11">
        <v>0.621</v>
      </c>
      <c r="D98" s="11"/>
      <c r="E98" s="11">
        <f t="shared" si="14"/>
        <v>0.621</v>
      </c>
      <c r="F98" s="11">
        <f t="shared" si="15"/>
        <v>0</v>
      </c>
      <c r="G98" s="14">
        <f t="shared" si="16"/>
        <v>0</v>
      </c>
      <c r="H98" s="11"/>
    </row>
    <row r="99" spans="1:8" ht="15.75">
      <c r="A99" s="17" t="s">
        <v>62</v>
      </c>
      <c r="B99" s="11"/>
      <c r="C99" s="11">
        <v>20.265</v>
      </c>
      <c r="D99" s="11">
        <v>481.8</v>
      </c>
      <c r="E99" s="11">
        <f t="shared" si="14"/>
        <v>502.065</v>
      </c>
      <c r="F99" s="11">
        <f t="shared" si="15"/>
        <v>481.8</v>
      </c>
      <c r="G99" s="14">
        <f t="shared" si="16"/>
        <v>1.762146116951202</v>
      </c>
      <c r="H99" s="11"/>
    </row>
    <row r="100" spans="1:8" ht="31.5">
      <c r="A100" s="17" t="s">
        <v>63</v>
      </c>
      <c r="B100" s="11"/>
      <c r="C100" s="11"/>
      <c r="D100" s="11">
        <f>26.068+47.583</f>
        <v>73.651</v>
      </c>
      <c r="E100" s="11">
        <f t="shared" si="14"/>
        <v>73.651</v>
      </c>
      <c r="F100" s="11">
        <f t="shared" si="15"/>
        <v>73.651</v>
      </c>
      <c r="G100" s="14">
        <f t="shared" si="16"/>
        <v>0.26937281789035483</v>
      </c>
      <c r="H100" s="11"/>
    </row>
    <row r="101" spans="1:8" ht="15.75">
      <c r="A101" s="17" t="s">
        <v>52</v>
      </c>
      <c r="B101" s="11"/>
      <c r="C101" s="11">
        <v>89.212</v>
      </c>
      <c r="D101" s="11">
        <f>2765.838+23.575</f>
        <v>2789.413</v>
      </c>
      <c r="E101" s="11">
        <f t="shared" si="14"/>
        <v>2878.625</v>
      </c>
      <c r="F101" s="11">
        <f t="shared" si="15"/>
        <v>2789.413</v>
      </c>
      <c r="G101" s="14">
        <f t="shared" si="16"/>
        <v>10.20206161586385</v>
      </c>
      <c r="H101" s="11"/>
    </row>
    <row r="102" spans="1:8" ht="31.5">
      <c r="A102" s="17" t="s">
        <v>64</v>
      </c>
      <c r="B102" s="11"/>
      <c r="C102" s="11"/>
      <c r="D102" s="11">
        <v>24.912</v>
      </c>
      <c r="E102" s="11">
        <f t="shared" si="14"/>
        <v>24.912</v>
      </c>
      <c r="F102" s="11">
        <f t="shared" si="15"/>
        <v>24.912</v>
      </c>
      <c r="G102" s="14">
        <f t="shared" si="16"/>
        <v>0.0911137070682614</v>
      </c>
      <c r="H102" s="11"/>
    </row>
    <row r="103" spans="1:8" ht="31.5">
      <c r="A103" s="17" t="s">
        <v>65</v>
      </c>
      <c r="B103" s="11"/>
      <c r="C103" s="11"/>
      <c r="D103" s="11">
        <v>96.236</v>
      </c>
      <c r="E103" s="11">
        <f t="shared" si="14"/>
        <v>96.236</v>
      </c>
      <c r="F103" s="11">
        <f t="shared" si="15"/>
        <v>96.236</v>
      </c>
      <c r="G103" s="14">
        <f t="shared" si="16"/>
        <v>0.3519757030114485</v>
      </c>
      <c r="H103" s="11"/>
    </row>
    <row r="104" spans="1:8" ht="31.5">
      <c r="A104" s="17" t="s">
        <v>66</v>
      </c>
      <c r="B104" s="11"/>
      <c r="C104" s="11"/>
      <c r="D104" s="11">
        <v>219.801</v>
      </c>
      <c r="E104" s="11">
        <f t="shared" si="14"/>
        <v>219.801</v>
      </c>
      <c r="F104" s="11">
        <f t="shared" si="15"/>
        <v>219.801</v>
      </c>
      <c r="G104" s="14">
        <f t="shared" si="16"/>
        <v>0.8039051030551911</v>
      </c>
      <c r="H104" s="11"/>
    </row>
    <row r="105" spans="1:8" ht="15.75">
      <c r="A105" s="18" t="s">
        <v>46</v>
      </c>
      <c r="B105" s="19">
        <f>SUM(B94:B101)</f>
        <v>23655.847</v>
      </c>
      <c r="C105" s="19">
        <f>SUM(C94:C101)</f>
        <v>2854.361</v>
      </c>
      <c r="D105" s="19">
        <f>SUM(D94:D104)</f>
        <v>3685.8129999999996</v>
      </c>
      <c r="E105" s="19">
        <f>SUM(E94:E104)</f>
        <v>6540.174000000001</v>
      </c>
      <c r="F105" s="19">
        <f>SUM(F94:F104)</f>
        <v>27341.660000000003</v>
      </c>
      <c r="G105" s="14">
        <f t="shared" si="16"/>
        <v>100</v>
      </c>
      <c r="H105" s="19"/>
    </row>
    <row r="107" spans="1:8" s="3" customFormat="1" ht="36.75" customHeight="1">
      <c r="A107" s="67" t="s">
        <v>67</v>
      </c>
      <c r="B107" s="67"/>
      <c r="C107" s="67"/>
      <c r="D107" s="67"/>
      <c r="E107" s="67"/>
      <c r="F107" s="67"/>
      <c r="G107" s="67"/>
      <c r="H107" s="67"/>
    </row>
    <row r="108" ht="15.75">
      <c r="A108" s="1" t="s">
        <v>68</v>
      </c>
    </row>
    <row r="109" ht="15.75">
      <c r="A109" s="1" t="s">
        <v>69</v>
      </c>
    </row>
    <row r="110" ht="15.75">
      <c r="A110" s="1" t="s">
        <v>70</v>
      </c>
    </row>
    <row r="112" spans="1:8" ht="14.25" customHeight="1">
      <c r="A112" s="51" t="s">
        <v>1</v>
      </c>
      <c r="B112" s="54" t="s">
        <v>2</v>
      </c>
      <c r="C112" s="55"/>
      <c r="D112" s="55"/>
      <c r="E112" s="55"/>
      <c r="F112" s="55"/>
      <c r="G112" s="56"/>
      <c r="H112" s="57" t="s">
        <v>48</v>
      </c>
    </row>
    <row r="113" spans="1:8" ht="15.75">
      <c r="A113" s="53"/>
      <c r="B113" s="61" t="s">
        <v>97</v>
      </c>
      <c r="C113" s="54" t="s">
        <v>4</v>
      </c>
      <c r="D113" s="60"/>
      <c r="E113" s="61" t="s">
        <v>5</v>
      </c>
      <c r="F113" s="61" t="s">
        <v>6</v>
      </c>
      <c r="G113" s="61" t="s">
        <v>7</v>
      </c>
      <c r="H113" s="58"/>
    </row>
    <row r="114" spans="1:8" ht="48" customHeight="1">
      <c r="A114" s="52"/>
      <c r="B114" s="62"/>
      <c r="C114" s="6" t="s">
        <v>8</v>
      </c>
      <c r="D114" s="7" t="s">
        <v>9</v>
      </c>
      <c r="E114" s="62"/>
      <c r="F114" s="62"/>
      <c r="G114" s="62"/>
      <c r="H114" s="59"/>
    </row>
    <row r="115" spans="1:8" ht="15.75">
      <c r="A115" s="5">
        <v>1</v>
      </c>
      <c r="B115" s="5">
        <v>2</v>
      </c>
      <c r="C115" s="6">
        <v>3</v>
      </c>
      <c r="D115" s="6">
        <v>4</v>
      </c>
      <c r="E115" s="8">
        <v>5</v>
      </c>
      <c r="F115" s="8">
        <v>6</v>
      </c>
      <c r="G115" s="5">
        <v>7</v>
      </c>
      <c r="H115" s="8">
        <v>8</v>
      </c>
    </row>
    <row r="116" spans="1:8" ht="15.75">
      <c r="A116" s="17" t="s">
        <v>23</v>
      </c>
      <c r="B116" s="11">
        <f>2081.37831+466.6238</f>
        <v>2548.00211</v>
      </c>
      <c r="C116" s="11">
        <f>31.197+8.394</f>
        <v>39.591</v>
      </c>
      <c r="D116" s="11"/>
      <c r="E116" s="11">
        <f aca="true" t="shared" si="17" ref="E116:E128">C116+D116</f>
        <v>39.591</v>
      </c>
      <c r="F116" s="11"/>
      <c r="G116" s="11">
        <f aca="true" t="shared" si="18" ref="G116:G128">B116+D116</f>
        <v>2548.00211</v>
      </c>
      <c r="H116" s="14">
        <f aca="true" t="shared" si="19" ref="H116:H128">(B116+D116)/(B$129+D$129)*100</f>
        <v>6.553150052076513</v>
      </c>
    </row>
    <row r="117" spans="1:8" ht="47.25">
      <c r="A117" s="17" t="s">
        <v>71</v>
      </c>
      <c r="B117" s="11">
        <f>18.34962+8.3225+112.31158+19.71954</f>
        <v>158.70324</v>
      </c>
      <c r="C117" s="11"/>
      <c r="D117" s="11"/>
      <c r="E117" s="11">
        <f t="shared" si="17"/>
        <v>0</v>
      </c>
      <c r="F117" s="11"/>
      <c r="G117" s="11">
        <f t="shared" si="18"/>
        <v>158.70324</v>
      </c>
      <c r="H117" s="14">
        <f t="shared" si="19"/>
        <v>0.40816533918439785</v>
      </c>
    </row>
    <row r="118" spans="1:8" ht="15.75">
      <c r="A118" s="10" t="s">
        <v>61</v>
      </c>
      <c r="B118" s="16">
        <f>484.04452-255.134</f>
        <v>228.91052</v>
      </c>
      <c r="C118" s="11">
        <f>46.21+78.84</f>
        <v>125.05000000000001</v>
      </c>
      <c r="D118" s="11"/>
      <c r="E118" s="11">
        <f t="shared" si="17"/>
        <v>125.05000000000001</v>
      </c>
      <c r="F118" s="11"/>
      <c r="G118" s="11">
        <f t="shared" si="18"/>
        <v>228.91052</v>
      </c>
      <c r="H118" s="14">
        <f t="shared" si="19"/>
        <v>0.5887298837671927</v>
      </c>
    </row>
    <row r="119" spans="1:8" ht="15.75">
      <c r="A119" s="17" t="s">
        <v>13</v>
      </c>
      <c r="B119" s="15">
        <v>385.849</v>
      </c>
      <c r="C119" s="11"/>
      <c r="D119" s="11">
        <v>55.65</v>
      </c>
      <c r="E119" s="11">
        <f t="shared" si="17"/>
        <v>55.65</v>
      </c>
      <c r="F119" s="11"/>
      <c r="G119" s="11">
        <f t="shared" si="18"/>
        <v>441.49899999999997</v>
      </c>
      <c r="H119" s="14">
        <f t="shared" si="19"/>
        <v>1.1354814752652338</v>
      </c>
    </row>
    <row r="120" spans="1:8" ht="15.75">
      <c r="A120" s="17" t="s">
        <v>27</v>
      </c>
      <c r="B120" s="15">
        <f>976.824-4.56</f>
        <v>972.264</v>
      </c>
      <c r="C120" s="11"/>
      <c r="D120" s="11">
        <v>6.24</v>
      </c>
      <c r="E120" s="11">
        <f t="shared" si="17"/>
        <v>6.24</v>
      </c>
      <c r="F120" s="11"/>
      <c r="G120" s="11">
        <f t="shared" si="18"/>
        <v>978.504</v>
      </c>
      <c r="H120" s="14">
        <f t="shared" si="19"/>
        <v>2.516592711360462</v>
      </c>
    </row>
    <row r="121" spans="1:8" ht="47.25">
      <c r="A121" s="17" t="s">
        <v>50</v>
      </c>
      <c r="B121" s="11">
        <f>1839.92898+206.815+2.833-385.849-518.6301-198.5</f>
        <v>946.5978799999998</v>
      </c>
      <c r="C121" s="11">
        <f>95.457+19.9+87.821</f>
        <v>203.178</v>
      </c>
      <c r="D121" s="11"/>
      <c r="E121" s="11">
        <f t="shared" si="17"/>
        <v>203.178</v>
      </c>
      <c r="F121" s="11"/>
      <c r="G121" s="11">
        <f t="shared" si="18"/>
        <v>946.5978799999998</v>
      </c>
      <c r="H121" s="14">
        <f t="shared" si="19"/>
        <v>2.434534069760843</v>
      </c>
    </row>
    <row r="122" spans="1:8" ht="15.75">
      <c r="A122" s="10" t="s">
        <v>28</v>
      </c>
      <c r="B122" s="11">
        <v>0.18</v>
      </c>
      <c r="C122" s="11"/>
      <c r="D122" s="11"/>
      <c r="E122" s="11">
        <f t="shared" si="17"/>
        <v>0</v>
      </c>
      <c r="F122" s="11"/>
      <c r="G122" s="11">
        <f t="shared" si="18"/>
        <v>0.18</v>
      </c>
      <c r="H122" s="14">
        <f t="shared" si="19"/>
        <v>0.00046293800336522187</v>
      </c>
    </row>
    <row r="123" spans="1:8" ht="15.75">
      <c r="A123" s="10" t="s">
        <v>72</v>
      </c>
      <c r="B123" s="11"/>
      <c r="C123" s="11">
        <v>11.557</v>
      </c>
      <c r="D123" s="11"/>
      <c r="E123" s="11">
        <f t="shared" si="17"/>
        <v>11.557</v>
      </c>
      <c r="F123" s="11"/>
      <c r="G123" s="11">
        <f t="shared" si="18"/>
        <v>0</v>
      </c>
      <c r="H123" s="14">
        <f t="shared" si="19"/>
        <v>0</v>
      </c>
    </row>
    <row r="124" spans="1:8" ht="15.75">
      <c r="A124" s="17" t="s">
        <v>52</v>
      </c>
      <c r="B124" s="11"/>
      <c r="C124" s="11"/>
      <c r="D124" s="11">
        <f>273.705+60.361+48.932</f>
        <v>382.998</v>
      </c>
      <c r="E124" s="11">
        <f t="shared" si="17"/>
        <v>382.998</v>
      </c>
      <c r="F124" s="11"/>
      <c r="G124" s="11">
        <f t="shared" si="18"/>
        <v>382.998</v>
      </c>
      <c r="H124" s="14">
        <f t="shared" si="19"/>
        <v>0.9850240522937401</v>
      </c>
    </row>
    <row r="125" spans="1:8" ht="31.5">
      <c r="A125" s="17" t="s">
        <v>73</v>
      </c>
      <c r="B125" s="16">
        <f>20466.55851+1477.75898</f>
        <v>21944.317489999998</v>
      </c>
      <c r="C125" s="11"/>
      <c r="D125" s="11">
        <f>138.52+46.693+196.649</f>
        <v>381.862</v>
      </c>
      <c r="E125" s="11">
        <f t="shared" si="17"/>
        <v>381.862</v>
      </c>
      <c r="F125" s="11">
        <f>11661.786+131.6</f>
        <v>11793.386</v>
      </c>
      <c r="G125" s="11">
        <f t="shared" si="18"/>
        <v>22326.17949</v>
      </c>
      <c r="H125" s="14">
        <f t="shared" si="19"/>
        <v>57.420205310412044</v>
      </c>
    </row>
    <row r="126" spans="1:8" ht="31.5">
      <c r="A126" s="17" t="s">
        <v>74</v>
      </c>
      <c r="B126" s="11"/>
      <c r="C126" s="11"/>
      <c r="D126" s="11">
        <f>1509.956</f>
        <v>1509.956</v>
      </c>
      <c r="E126" s="11">
        <f t="shared" si="17"/>
        <v>1509.956</v>
      </c>
      <c r="F126" s="11"/>
      <c r="G126" s="11">
        <f t="shared" si="18"/>
        <v>1509.956</v>
      </c>
      <c r="H126" s="14">
        <f t="shared" si="19"/>
        <v>3.883422310051872</v>
      </c>
    </row>
    <row r="127" spans="1:8" ht="15.75">
      <c r="A127" s="17" t="s">
        <v>75</v>
      </c>
      <c r="B127" s="11"/>
      <c r="C127" s="11"/>
      <c r="D127" s="11">
        <v>3892</v>
      </c>
      <c r="E127" s="11">
        <f t="shared" si="17"/>
        <v>3892</v>
      </c>
      <c r="F127" s="11"/>
      <c r="G127" s="11">
        <f t="shared" si="18"/>
        <v>3892</v>
      </c>
      <c r="H127" s="14">
        <f t="shared" si="19"/>
        <v>10.009748383874687</v>
      </c>
    </row>
    <row r="128" spans="1:8" ht="15.75">
      <c r="A128" s="17" t="s">
        <v>76</v>
      </c>
      <c r="B128" s="11"/>
      <c r="C128" s="11"/>
      <c r="D128" s="11">
        <f>4724.86+743.706</f>
        <v>5468.566</v>
      </c>
      <c r="E128" s="11">
        <f t="shared" si="17"/>
        <v>5468.566</v>
      </c>
      <c r="F128" s="11"/>
      <c r="G128" s="11">
        <f t="shared" si="18"/>
        <v>5468.566</v>
      </c>
      <c r="H128" s="14">
        <f t="shared" si="19"/>
        <v>14.064483473949654</v>
      </c>
    </row>
    <row r="129" spans="1:8" ht="15.75">
      <c r="A129" s="18" t="s">
        <v>46</v>
      </c>
      <c r="B129" s="30">
        <f>SUM(B116:B125)</f>
        <v>27184.824239999998</v>
      </c>
      <c r="C129" s="19">
        <f>SUM(C116:C125)</f>
        <v>379.37600000000003</v>
      </c>
      <c r="D129" s="19">
        <f>SUM(D116:D128)</f>
        <v>11697.272</v>
      </c>
      <c r="E129" s="19">
        <f>SUM(E116:E128)</f>
        <v>12076.648000000001</v>
      </c>
      <c r="F129" s="19">
        <f>SUM(F116:F127)</f>
        <v>11793.386</v>
      </c>
      <c r="G129" s="19">
        <f>SUM(G116:G128)</f>
        <v>38882.09623999999</v>
      </c>
      <c r="H129" s="14">
        <f>SUM(H116:H128)</f>
        <v>100</v>
      </c>
    </row>
    <row r="132" s="3" customFormat="1" ht="18.75">
      <c r="A132" s="31" t="s">
        <v>77</v>
      </c>
    </row>
    <row r="133" ht="15.75">
      <c r="A133" s="23"/>
    </row>
    <row r="134" spans="1:8" ht="14.25" customHeight="1">
      <c r="A134" s="63" t="s">
        <v>1</v>
      </c>
      <c r="B134" s="63" t="s">
        <v>2</v>
      </c>
      <c r="C134" s="64"/>
      <c r="D134" s="64"/>
      <c r="E134" s="64"/>
      <c r="F134" s="64"/>
      <c r="G134" s="65" t="s">
        <v>48</v>
      </c>
      <c r="H134" s="32"/>
    </row>
    <row r="135" spans="1:8" ht="51" customHeight="1">
      <c r="A135" s="63"/>
      <c r="B135" s="61" t="s">
        <v>97</v>
      </c>
      <c r="C135" s="63" t="s">
        <v>4</v>
      </c>
      <c r="D135" s="63"/>
      <c r="E135" s="66" t="s">
        <v>5</v>
      </c>
      <c r="F135" s="66" t="s">
        <v>7</v>
      </c>
      <c r="G135" s="65"/>
      <c r="H135" s="50"/>
    </row>
    <row r="136" spans="1:8" ht="28.5" customHeight="1">
      <c r="A136" s="63"/>
      <c r="B136" s="62"/>
      <c r="C136" s="6" t="s">
        <v>8</v>
      </c>
      <c r="D136" s="33" t="s">
        <v>9</v>
      </c>
      <c r="E136" s="66"/>
      <c r="F136" s="66"/>
      <c r="G136" s="65"/>
      <c r="H136" s="50"/>
    </row>
    <row r="137" spans="1:8" ht="15.75">
      <c r="A137" s="34">
        <v>1</v>
      </c>
      <c r="B137" s="34">
        <v>2</v>
      </c>
      <c r="C137" s="34">
        <v>3</v>
      </c>
      <c r="D137" s="34">
        <v>4</v>
      </c>
      <c r="E137" s="35">
        <v>5</v>
      </c>
      <c r="F137" s="34">
        <v>6</v>
      </c>
      <c r="G137" s="35">
        <v>7</v>
      </c>
      <c r="H137" s="36"/>
    </row>
    <row r="138" spans="1:8" ht="15.75">
      <c r="A138" s="17" t="s">
        <v>23</v>
      </c>
      <c r="B138" s="11">
        <f>608.96+135.968</f>
        <v>744.928</v>
      </c>
      <c r="C138" s="11">
        <f>31.197+8.394</f>
        <v>39.591</v>
      </c>
      <c r="D138" s="11"/>
      <c r="E138" s="11">
        <f aca="true" t="shared" si="20" ref="E138:E145">C138+D138</f>
        <v>39.591</v>
      </c>
      <c r="F138" s="11">
        <f aca="true" t="shared" si="21" ref="F138:F145">B138+D138</f>
        <v>744.928</v>
      </c>
      <c r="G138" s="14">
        <f aca="true" t="shared" si="22" ref="G138:G145">(B138+D138)/(B$146+D$146)*100</f>
        <v>10.810628818552543</v>
      </c>
      <c r="H138" s="37"/>
    </row>
    <row r="139" spans="1:8" ht="47.25">
      <c r="A139" s="17" t="s">
        <v>71</v>
      </c>
      <c r="B139" s="11">
        <f>7.043+85.867</f>
        <v>92.91000000000001</v>
      </c>
      <c r="C139" s="11"/>
      <c r="D139" s="11"/>
      <c r="E139" s="11">
        <f t="shared" si="20"/>
        <v>0</v>
      </c>
      <c r="F139" s="11">
        <f t="shared" si="21"/>
        <v>92.91000000000001</v>
      </c>
      <c r="G139" s="14">
        <f t="shared" si="22"/>
        <v>1.3483390656972443</v>
      </c>
      <c r="H139" s="38"/>
    </row>
    <row r="140" spans="1:8" ht="15.75">
      <c r="A140" s="10" t="s">
        <v>61</v>
      </c>
      <c r="B140" s="11">
        <v>57.06</v>
      </c>
      <c r="C140" s="11">
        <v>46.21</v>
      </c>
      <c r="D140" s="11"/>
      <c r="E140" s="11">
        <f t="shared" si="20"/>
        <v>46.21</v>
      </c>
      <c r="F140" s="11">
        <f t="shared" si="21"/>
        <v>57.06</v>
      </c>
      <c r="G140" s="14">
        <f t="shared" si="22"/>
        <v>0.8280726196177457</v>
      </c>
      <c r="H140" s="37"/>
    </row>
    <row r="141" spans="1:8" ht="31.5">
      <c r="A141" s="17" t="s">
        <v>78</v>
      </c>
      <c r="B141" s="11">
        <f>591.711+2.135</f>
        <v>593.846</v>
      </c>
      <c r="C141" s="11">
        <f>95.457+19.9+87.821</f>
        <v>203.178</v>
      </c>
      <c r="D141" s="11"/>
      <c r="E141" s="11">
        <f t="shared" si="20"/>
        <v>203.178</v>
      </c>
      <c r="F141" s="11">
        <f t="shared" si="21"/>
        <v>593.846</v>
      </c>
      <c r="G141" s="14">
        <f t="shared" si="22"/>
        <v>8.618079440405184</v>
      </c>
      <c r="H141" s="37"/>
    </row>
    <row r="142" spans="1:8" ht="15.75">
      <c r="A142" s="10" t="s">
        <v>28</v>
      </c>
      <c r="B142" s="11"/>
      <c r="C142" s="11"/>
      <c r="D142" s="11"/>
      <c r="E142" s="11">
        <f t="shared" si="20"/>
        <v>0</v>
      </c>
      <c r="F142" s="11">
        <f t="shared" si="21"/>
        <v>0</v>
      </c>
      <c r="G142" s="14">
        <f t="shared" si="22"/>
        <v>0</v>
      </c>
      <c r="H142" s="37"/>
    </row>
    <row r="143" spans="1:8" ht="15.75">
      <c r="A143" s="10" t="s">
        <v>79</v>
      </c>
      <c r="B143" s="11"/>
      <c r="C143" s="11"/>
      <c r="D143" s="11">
        <v>3892</v>
      </c>
      <c r="E143" s="11">
        <f t="shared" si="20"/>
        <v>3892</v>
      </c>
      <c r="F143" s="11">
        <f t="shared" si="21"/>
        <v>3892</v>
      </c>
      <c r="G143" s="14">
        <f t="shared" si="22"/>
        <v>56.48192491328893</v>
      </c>
      <c r="H143" s="37"/>
    </row>
    <row r="144" spans="1:8" ht="15.75">
      <c r="A144" s="17" t="s">
        <v>72</v>
      </c>
      <c r="B144" s="11"/>
      <c r="C144" s="11">
        <v>11.557</v>
      </c>
      <c r="D144" s="11"/>
      <c r="E144" s="11">
        <f t="shared" si="20"/>
        <v>11.557</v>
      </c>
      <c r="F144" s="11">
        <f t="shared" si="21"/>
        <v>0</v>
      </c>
      <c r="G144" s="14">
        <f t="shared" si="22"/>
        <v>0</v>
      </c>
      <c r="H144" s="37"/>
    </row>
    <row r="145" spans="1:8" ht="15.75">
      <c r="A145" s="17" t="s">
        <v>30</v>
      </c>
      <c r="B145" s="11"/>
      <c r="C145" s="11"/>
      <c r="D145" s="11">
        <v>1509.956</v>
      </c>
      <c r="E145" s="11">
        <f t="shared" si="20"/>
        <v>1509.956</v>
      </c>
      <c r="F145" s="11">
        <f t="shared" si="21"/>
        <v>1509.956</v>
      </c>
      <c r="G145" s="14">
        <f t="shared" si="22"/>
        <v>21.91295514243836</v>
      </c>
      <c r="H145" s="37"/>
    </row>
    <row r="146" spans="1:8" ht="15.75">
      <c r="A146" s="18" t="s">
        <v>46</v>
      </c>
      <c r="B146" s="19">
        <f aca="true" t="shared" si="23" ref="B146:G146">SUM(B138:B145)</f>
        <v>1488.744</v>
      </c>
      <c r="C146" s="19">
        <f t="shared" si="23"/>
        <v>300.536</v>
      </c>
      <c r="D146" s="19">
        <f t="shared" si="23"/>
        <v>5401.956</v>
      </c>
      <c r="E146" s="19">
        <f t="shared" si="23"/>
        <v>5702.492</v>
      </c>
      <c r="F146" s="19">
        <f t="shared" si="23"/>
        <v>6890.7</v>
      </c>
      <c r="G146" s="14">
        <f t="shared" si="23"/>
        <v>100</v>
      </c>
      <c r="H146" s="29"/>
    </row>
    <row r="149" spans="1:6" s="3" customFormat="1" ht="18.75">
      <c r="A149" s="39" t="s">
        <v>80</v>
      </c>
      <c r="B149" s="40"/>
      <c r="C149" s="40"/>
      <c r="D149" s="40"/>
      <c r="E149" s="41"/>
      <c r="F149" s="41"/>
    </row>
    <row r="150" spans="1:6" ht="6" customHeight="1">
      <c r="A150" s="28"/>
      <c r="B150" s="42"/>
      <c r="C150" s="42"/>
      <c r="D150" s="42"/>
      <c r="E150" s="37"/>
      <c r="F150" s="37"/>
    </row>
    <row r="151" spans="1:8" ht="14.25" customHeight="1">
      <c r="A151" s="51" t="s">
        <v>1</v>
      </c>
      <c r="B151" s="54" t="s">
        <v>2</v>
      </c>
      <c r="C151" s="55"/>
      <c r="D151" s="55"/>
      <c r="E151" s="55"/>
      <c r="F151" s="55"/>
      <c r="G151" s="56"/>
      <c r="H151" s="57" t="s">
        <v>48</v>
      </c>
    </row>
    <row r="152" spans="1:8" ht="15.75">
      <c r="A152" s="53"/>
      <c r="B152" s="61" t="s">
        <v>97</v>
      </c>
      <c r="C152" s="54" t="s">
        <v>4</v>
      </c>
      <c r="D152" s="60"/>
      <c r="E152" s="61" t="s">
        <v>5</v>
      </c>
      <c r="F152" s="61" t="s">
        <v>22</v>
      </c>
      <c r="G152" s="61" t="s">
        <v>7</v>
      </c>
      <c r="H152" s="58"/>
    </row>
    <row r="153" spans="1:8" ht="44.25" customHeight="1">
      <c r="A153" s="52"/>
      <c r="B153" s="62"/>
      <c r="C153" s="6" t="s">
        <v>8</v>
      </c>
      <c r="D153" s="7" t="s">
        <v>9</v>
      </c>
      <c r="E153" s="62"/>
      <c r="F153" s="62"/>
      <c r="G153" s="62"/>
      <c r="H153" s="59"/>
    </row>
    <row r="154" spans="1:8" ht="15.75">
      <c r="A154" s="5">
        <v>1</v>
      </c>
      <c r="B154" s="5">
        <v>2</v>
      </c>
      <c r="C154" s="6">
        <v>3</v>
      </c>
      <c r="D154" s="6">
        <v>4</v>
      </c>
      <c r="E154" s="8">
        <v>5</v>
      </c>
      <c r="F154" s="8">
        <v>6</v>
      </c>
      <c r="G154" s="5">
        <v>7</v>
      </c>
      <c r="H154" s="8">
        <v>8</v>
      </c>
    </row>
    <row r="155" spans="1:8" ht="18" customHeight="1">
      <c r="A155" s="17" t="s">
        <v>81</v>
      </c>
      <c r="B155" s="15">
        <f>6842+1447.708</f>
        <v>8289.708</v>
      </c>
      <c r="C155" s="11"/>
      <c r="D155" s="11"/>
      <c r="E155" s="11"/>
      <c r="F155" s="11">
        <f>1605.668+388.768</f>
        <v>1994.436</v>
      </c>
      <c r="G155" s="11">
        <f>B155+D155</f>
        <v>8289.708</v>
      </c>
      <c r="H155" s="14">
        <f>(B155+D155)/(B$164+D$164)*100</f>
        <v>31.7227142711398</v>
      </c>
    </row>
    <row r="156" spans="1:8" ht="15.75">
      <c r="A156" s="10" t="s">
        <v>82</v>
      </c>
      <c r="B156" s="15">
        <v>8489.51</v>
      </c>
      <c r="C156" s="11"/>
      <c r="D156" s="11"/>
      <c r="E156" s="11"/>
      <c r="F156" s="11">
        <v>1370.398</v>
      </c>
      <c r="G156" s="11">
        <f>B156+D156</f>
        <v>8489.51</v>
      </c>
      <c r="H156" s="14">
        <f>(B156+D156)/(B$164+D$164)*100</f>
        <v>32.48730836260867</v>
      </c>
    </row>
    <row r="157" spans="1:8" s="45" customFormat="1" ht="31.5">
      <c r="A157" s="17" t="s">
        <v>83</v>
      </c>
      <c r="B157" s="25"/>
      <c r="C157" s="43"/>
      <c r="D157" s="43"/>
      <c r="E157" s="43"/>
      <c r="F157" s="43">
        <f>1484.535-1285.288+1909.188-11.71-0.092+1285.288+1889.273+91.466</f>
        <v>5362.660000000001</v>
      </c>
      <c r="G157" s="43"/>
      <c r="H157" s="44"/>
    </row>
    <row r="158" spans="1:8" ht="15.75">
      <c r="A158" s="10" t="s">
        <v>84</v>
      </c>
      <c r="B158" s="15">
        <v>612.494</v>
      </c>
      <c r="C158" s="11"/>
      <c r="D158" s="11"/>
      <c r="E158" s="11"/>
      <c r="F158" s="11">
        <v>11.71</v>
      </c>
      <c r="G158" s="11">
        <f aca="true" t="shared" si="24" ref="G158:G163">B158+D158</f>
        <v>612.494</v>
      </c>
      <c r="H158" s="14">
        <f aca="true" t="shared" si="25" ref="H158:H163">(B158+D158)/(B$164+D$164)*100</f>
        <v>2.343866895527261</v>
      </c>
    </row>
    <row r="159" spans="1:8" ht="47.25">
      <c r="A159" s="17" t="s">
        <v>85</v>
      </c>
      <c r="B159" s="15">
        <f>3074.847</f>
        <v>3074.847</v>
      </c>
      <c r="C159" s="11"/>
      <c r="D159" s="11"/>
      <c r="E159" s="11"/>
      <c r="F159" s="11">
        <v>616.905</v>
      </c>
      <c r="G159" s="11">
        <f t="shared" si="24"/>
        <v>3074.847</v>
      </c>
      <c r="H159" s="14">
        <f t="shared" si="25"/>
        <v>11.76669827314441</v>
      </c>
    </row>
    <row r="160" spans="1:8" ht="15.75">
      <c r="A160" s="17" t="s">
        <v>51</v>
      </c>
      <c r="B160" s="15"/>
      <c r="C160" s="11"/>
      <c r="D160" s="11"/>
      <c r="E160" s="11">
        <f>D160</f>
        <v>0</v>
      </c>
      <c r="F160" s="11">
        <v>293.836</v>
      </c>
      <c r="G160" s="11">
        <f t="shared" si="24"/>
        <v>0</v>
      </c>
      <c r="H160" s="14">
        <f t="shared" si="25"/>
        <v>0</v>
      </c>
    </row>
    <row r="161" spans="1:8" ht="31.5">
      <c r="A161" s="17" t="s">
        <v>86</v>
      </c>
      <c r="B161" s="15"/>
      <c r="C161" s="11"/>
      <c r="D161" s="11">
        <v>196.649</v>
      </c>
      <c r="E161" s="11">
        <f>D161</f>
        <v>196.649</v>
      </c>
      <c r="F161" s="11">
        <v>403.6</v>
      </c>
      <c r="G161" s="11">
        <f t="shared" si="24"/>
        <v>196.649</v>
      </c>
      <c r="H161" s="14">
        <f t="shared" si="25"/>
        <v>0.7525283205036137</v>
      </c>
    </row>
    <row r="162" spans="1:8" ht="15.75">
      <c r="A162" s="17" t="s">
        <v>87</v>
      </c>
      <c r="B162" s="15"/>
      <c r="C162" s="11"/>
      <c r="D162" s="11">
        <f>4724.86+743.706</f>
        <v>5468.566</v>
      </c>
      <c r="E162" s="11">
        <f>D162</f>
        <v>5468.566</v>
      </c>
      <c r="F162" s="11">
        <v>163.566</v>
      </c>
      <c r="G162" s="11">
        <f t="shared" si="24"/>
        <v>5468.566</v>
      </c>
      <c r="H162" s="14">
        <f t="shared" si="25"/>
        <v>20.926883877076236</v>
      </c>
    </row>
    <row r="163" spans="1:8" ht="15.75">
      <c r="A163" s="17" t="s">
        <v>28</v>
      </c>
      <c r="B163" s="15"/>
      <c r="C163" s="11"/>
      <c r="D163" s="11"/>
      <c r="E163" s="11"/>
      <c r="F163" s="11">
        <v>53.644</v>
      </c>
      <c r="G163" s="11">
        <f t="shared" si="24"/>
        <v>0</v>
      </c>
      <c r="H163" s="14">
        <f t="shared" si="25"/>
        <v>0</v>
      </c>
    </row>
    <row r="164" spans="1:8" ht="15.75">
      <c r="A164" s="18" t="s">
        <v>46</v>
      </c>
      <c r="B164" s="46">
        <f>SUM(B155:B163)</f>
        <v>20466.559</v>
      </c>
      <c r="C164" s="11"/>
      <c r="D164" s="19">
        <f>SUM(D155:D163)</f>
        <v>5665.215</v>
      </c>
      <c r="E164" s="19">
        <f>SUM(E155:E163)</f>
        <v>5665.215</v>
      </c>
      <c r="F164" s="19">
        <f>SUM(F155:F163)</f>
        <v>10270.755000000001</v>
      </c>
      <c r="G164" s="19">
        <f>SUM(G155:G163)</f>
        <v>26131.774</v>
      </c>
      <c r="H164" s="14">
        <f>SUM(H155:H163)</f>
        <v>100</v>
      </c>
    </row>
    <row r="165" spans="1:8" ht="15.75">
      <c r="A165" s="28"/>
      <c r="B165" s="47"/>
      <c r="C165" s="29"/>
      <c r="D165" s="29"/>
      <c r="E165" s="29"/>
      <c r="F165" s="29"/>
      <c r="G165" s="29"/>
      <c r="H165" s="42"/>
    </row>
    <row r="166" spans="1:6" s="3" customFormat="1" ht="18.75">
      <c r="A166" s="39" t="s">
        <v>88</v>
      </c>
      <c r="B166" s="40"/>
      <c r="C166" s="40"/>
      <c r="D166" s="40"/>
      <c r="E166" s="41"/>
      <c r="F166" s="41"/>
    </row>
    <row r="167" spans="1:6" ht="4.5" customHeight="1">
      <c r="A167" s="28"/>
      <c r="B167" s="42"/>
      <c r="C167" s="42"/>
      <c r="D167" s="42"/>
      <c r="E167" s="37"/>
      <c r="F167" s="37"/>
    </row>
    <row r="168" spans="1:8" ht="12.75" customHeight="1">
      <c r="A168" s="51" t="s">
        <v>1</v>
      </c>
      <c r="B168" s="54" t="s">
        <v>2</v>
      </c>
      <c r="C168" s="55"/>
      <c r="D168" s="55"/>
      <c r="E168" s="55"/>
      <c r="F168" s="55"/>
      <c r="G168" s="56"/>
      <c r="H168" s="57" t="s">
        <v>21</v>
      </c>
    </row>
    <row r="169" spans="1:8" ht="15.75">
      <c r="A169" s="53"/>
      <c r="B169" s="61" t="s">
        <v>97</v>
      </c>
      <c r="C169" s="54" t="s">
        <v>4</v>
      </c>
      <c r="D169" s="60"/>
      <c r="E169" s="61" t="s">
        <v>5</v>
      </c>
      <c r="F169" s="61" t="s">
        <v>22</v>
      </c>
      <c r="G169" s="61" t="s">
        <v>7</v>
      </c>
      <c r="H169" s="58"/>
    </row>
    <row r="170" spans="1:8" ht="31.5">
      <c r="A170" s="52"/>
      <c r="B170" s="62"/>
      <c r="C170" s="6" t="s">
        <v>8</v>
      </c>
      <c r="D170" s="7" t="s">
        <v>9</v>
      </c>
      <c r="E170" s="62"/>
      <c r="F170" s="62"/>
      <c r="G170" s="62"/>
      <c r="H170" s="59"/>
    </row>
    <row r="171" spans="1:8" ht="15.75">
      <c r="A171" s="48">
        <v>1</v>
      </c>
      <c r="B171" s="48">
        <v>2</v>
      </c>
      <c r="C171" s="34">
        <v>3</v>
      </c>
      <c r="D171" s="34">
        <v>4</v>
      </c>
      <c r="E171" s="49">
        <v>5</v>
      </c>
      <c r="F171" s="49">
        <v>6</v>
      </c>
      <c r="G171" s="48">
        <v>7</v>
      </c>
      <c r="H171" s="49">
        <v>8</v>
      </c>
    </row>
    <row r="172" spans="1:8" ht="15.75" customHeight="1">
      <c r="A172" s="17" t="s">
        <v>81</v>
      </c>
      <c r="B172" s="15">
        <f>946.556+205.609</f>
        <v>1152.165</v>
      </c>
      <c r="C172" s="11"/>
      <c r="D172" s="11"/>
      <c r="E172" s="11"/>
      <c r="F172" s="11">
        <f>6.868+2.325</f>
        <v>9.193000000000001</v>
      </c>
      <c r="G172" s="11">
        <f aca="true" t="shared" si="26" ref="G172:G180">B172+D172</f>
        <v>1152.165</v>
      </c>
      <c r="H172" s="14">
        <f>(B172+D172)/(B$181+D$181)*100</f>
        <v>69.28348763539013</v>
      </c>
    </row>
    <row r="173" spans="1:8" ht="15.75">
      <c r="A173" s="10" t="s">
        <v>89</v>
      </c>
      <c r="B173" s="15">
        <v>157.939</v>
      </c>
      <c r="C173" s="11"/>
      <c r="D173" s="11"/>
      <c r="E173" s="11"/>
      <c r="F173" s="11">
        <v>11.224</v>
      </c>
      <c r="G173" s="11">
        <f t="shared" si="26"/>
        <v>157.939</v>
      </c>
      <c r="H173" s="14">
        <f>(B173+D173)/(B$181+D$181)*100</f>
        <v>9.497393822625998</v>
      </c>
    </row>
    <row r="174" spans="1:8" ht="31.5">
      <c r="A174" s="17" t="s">
        <v>90</v>
      </c>
      <c r="B174" s="15">
        <v>29.83</v>
      </c>
      <c r="C174" s="11"/>
      <c r="D174" s="11"/>
      <c r="E174" s="11"/>
      <c r="F174" s="11">
        <v>7.52</v>
      </c>
      <c r="G174" s="11">
        <f t="shared" si="26"/>
        <v>29.83</v>
      </c>
      <c r="H174" s="14">
        <f>(B174+D174)/(B$181+D$181)*100</f>
        <v>1.7937764436202173</v>
      </c>
    </row>
    <row r="175" spans="1:8" ht="31.5">
      <c r="A175" s="17" t="s">
        <v>91</v>
      </c>
      <c r="B175" s="15">
        <v>133.775</v>
      </c>
      <c r="C175" s="11"/>
      <c r="D175" s="11"/>
      <c r="E175" s="11"/>
      <c r="F175" s="11">
        <v>10.64</v>
      </c>
      <c r="G175" s="11">
        <f t="shared" si="26"/>
        <v>133.775</v>
      </c>
      <c r="H175" s="14">
        <f>(B175+D175)/(B$181+D$181)*100</f>
        <v>8.04433267667766</v>
      </c>
    </row>
    <row r="176" spans="1:8" ht="15.75">
      <c r="A176" s="17" t="s">
        <v>92</v>
      </c>
      <c r="B176" s="15">
        <v>2.84</v>
      </c>
      <c r="C176" s="11"/>
      <c r="D176" s="11"/>
      <c r="E176" s="11"/>
      <c r="F176" s="11">
        <f>0.013+4.64</f>
        <v>4.653</v>
      </c>
      <c r="G176" s="11">
        <f t="shared" si="26"/>
        <v>2.84</v>
      </c>
      <c r="H176" s="14">
        <f>(B176+D176)/(B$181+D$181)*100</f>
        <v>0.17077858196049</v>
      </c>
    </row>
    <row r="177" spans="1:8" ht="15.75">
      <c r="A177" s="17" t="s">
        <v>93</v>
      </c>
      <c r="B177" s="15"/>
      <c r="C177" s="11"/>
      <c r="D177" s="11"/>
      <c r="E177" s="11"/>
      <c r="F177" s="11">
        <f>16.424+34.811</f>
        <v>51.235</v>
      </c>
      <c r="G177" s="11">
        <f t="shared" si="26"/>
        <v>0</v>
      </c>
      <c r="H177" s="14"/>
    </row>
    <row r="178" spans="1:8" ht="15.75">
      <c r="A178" s="17" t="s">
        <v>94</v>
      </c>
      <c r="B178" s="15">
        <v>1.21</v>
      </c>
      <c r="C178" s="11"/>
      <c r="D178" s="11"/>
      <c r="E178" s="11"/>
      <c r="F178" s="11"/>
      <c r="G178" s="11">
        <f t="shared" si="26"/>
        <v>1.21</v>
      </c>
      <c r="H178" s="14">
        <f>(B178+D178)/(B$181+D$181)*100</f>
        <v>0.0727612972437299</v>
      </c>
    </row>
    <row r="179" spans="1:8" ht="31.5">
      <c r="A179" s="17" t="s">
        <v>95</v>
      </c>
      <c r="B179" s="15"/>
      <c r="C179" s="11"/>
      <c r="D179" s="11">
        <v>138.52</v>
      </c>
      <c r="E179" s="11"/>
      <c r="F179" s="11"/>
      <c r="G179" s="11">
        <f t="shared" si="26"/>
        <v>138.52</v>
      </c>
      <c r="H179" s="14">
        <f>(B179+D179)/(B$181+D$181)*100</f>
        <v>8.329665201819395</v>
      </c>
    </row>
    <row r="180" spans="1:8" ht="15.75">
      <c r="A180" s="17" t="s">
        <v>96</v>
      </c>
      <c r="B180" s="15"/>
      <c r="C180" s="11"/>
      <c r="D180" s="11">
        <v>46.693</v>
      </c>
      <c r="E180" s="11"/>
      <c r="F180" s="11"/>
      <c r="G180" s="11">
        <f t="shared" si="26"/>
        <v>46.693</v>
      </c>
      <c r="H180" s="14">
        <f>(B180+D180)/(B$181+D$181)*100</f>
        <v>2.80780434066238</v>
      </c>
    </row>
    <row r="181" spans="1:8" ht="15.75">
      <c r="A181" s="18" t="s">
        <v>46</v>
      </c>
      <c r="B181" s="19">
        <f>SUM(B172:B180)</f>
        <v>1477.759</v>
      </c>
      <c r="C181" s="11"/>
      <c r="D181" s="19">
        <f>SUM(D172:D180)</f>
        <v>185.21300000000002</v>
      </c>
      <c r="E181" s="19">
        <f>SUM(E172:E180)</f>
        <v>0</v>
      </c>
      <c r="F181" s="19">
        <f>SUM(F172:F180)</f>
        <v>94.465</v>
      </c>
      <c r="G181" s="19">
        <f>SUM(G172:G180)</f>
        <v>1662.972</v>
      </c>
      <c r="H181" s="14">
        <f>SUM(H172:H180)</f>
        <v>100</v>
      </c>
    </row>
  </sheetData>
  <sheetProtection/>
  <mergeCells count="75">
    <mergeCell ref="A68:H68"/>
    <mergeCell ref="A70:A72"/>
    <mergeCell ref="G5:G6"/>
    <mergeCell ref="A21:A23"/>
    <mergeCell ref="B21:G21"/>
    <mergeCell ref="H21:H23"/>
    <mergeCell ref="B5:B6"/>
    <mergeCell ref="C5:D5"/>
    <mergeCell ref="E5:E6"/>
    <mergeCell ref="F5:F6"/>
    <mergeCell ref="A4:A6"/>
    <mergeCell ref="B4:G4"/>
    <mergeCell ref="H4:H6"/>
    <mergeCell ref="C54:D54"/>
    <mergeCell ref="E54:E55"/>
    <mergeCell ref="F54:F55"/>
    <mergeCell ref="H54:H55"/>
    <mergeCell ref="G22:G23"/>
    <mergeCell ref="A53:A55"/>
    <mergeCell ref="B53:F53"/>
    <mergeCell ref="G53:G55"/>
    <mergeCell ref="B54:B55"/>
    <mergeCell ref="B22:B23"/>
    <mergeCell ref="C22:D22"/>
    <mergeCell ref="E22:E23"/>
    <mergeCell ref="F22:F23"/>
    <mergeCell ref="B70:F70"/>
    <mergeCell ref="G70:G72"/>
    <mergeCell ref="B71:B72"/>
    <mergeCell ref="C71:D71"/>
    <mergeCell ref="E71:E72"/>
    <mergeCell ref="F71:F72"/>
    <mergeCell ref="A90:A92"/>
    <mergeCell ref="B90:F90"/>
    <mergeCell ref="G90:G92"/>
    <mergeCell ref="B91:B92"/>
    <mergeCell ref="C91:D91"/>
    <mergeCell ref="E91:E92"/>
    <mergeCell ref="F91:F92"/>
    <mergeCell ref="H91:H92"/>
    <mergeCell ref="H71:H72"/>
    <mergeCell ref="B113:B114"/>
    <mergeCell ref="C113:D113"/>
    <mergeCell ref="E113:E114"/>
    <mergeCell ref="F113:F114"/>
    <mergeCell ref="G113:G114"/>
    <mergeCell ref="H112:H114"/>
    <mergeCell ref="A107:H107"/>
    <mergeCell ref="A88:G88"/>
    <mergeCell ref="B135:B136"/>
    <mergeCell ref="C135:D135"/>
    <mergeCell ref="A112:A114"/>
    <mergeCell ref="B112:G112"/>
    <mergeCell ref="A134:A136"/>
    <mergeCell ref="B134:F134"/>
    <mergeCell ref="G134:G136"/>
    <mergeCell ref="E135:E136"/>
    <mergeCell ref="F135:F136"/>
    <mergeCell ref="A151:A153"/>
    <mergeCell ref="B151:G151"/>
    <mergeCell ref="H151:H153"/>
    <mergeCell ref="C152:D152"/>
    <mergeCell ref="E152:E153"/>
    <mergeCell ref="F152:F153"/>
    <mergeCell ref="G152:G153"/>
    <mergeCell ref="H135:H136"/>
    <mergeCell ref="B152:B153"/>
    <mergeCell ref="A168:A170"/>
    <mergeCell ref="B168:G168"/>
    <mergeCell ref="H168:H170"/>
    <mergeCell ref="B169:B170"/>
    <mergeCell ref="C169:D169"/>
    <mergeCell ref="E169:E170"/>
    <mergeCell ref="F169:F170"/>
    <mergeCell ref="G169:G170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landscape" paperSize="9" scale="84" r:id="rId1"/>
  <rowBreaks count="7" manualBreakCount="7">
    <brk id="18" max="12" man="1"/>
    <brk id="49" max="12" man="1"/>
    <brk id="66" max="12" man="1"/>
    <brk id="86" max="12" man="1"/>
    <brk id="106" max="12" man="1"/>
    <brk id="130" max="12" man="1"/>
    <brk id="1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Лена</cp:lastModifiedBy>
  <cp:lastPrinted>2017-02-27T13:08:40Z</cp:lastPrinted>
  <dcterms:created xsi:type="dcterms:W3CDTF">2017-02-27T13:07:33Z</dcterms:created>
  <dcterms:modified xsi:type="dcterms:W3CDTF">2017-02-27T13:15:14Z</dcterms:modified>
  <cp:category/>
  <cp:version/>
  <cp:contentType/>
  <cp:contentStatus/>
</cp:coreProperties>
</file>