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640" windowHeight="7740" activeTab="0"/>
  </bookViews>
  <sheets>
    <sheet name="Місцевий бюдже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<sst xmlns="http://schemas.openxmlformats.org/spreadsheetml/2006/main" count="673" uniqueCount="459">
  <si>
    <t>Вид робіт</t>
  </si>
  <si>
    <t>Заплановано, тис. грн.</t>
  </si>
  <si>
    <t>Залишок,                                                  тис. грн.</t>
  </si>
  <si>
    <t xml:space="preserve"> - депутатські кошти</t>
  </si>
  <si>
    <t>Відсоток виконання, %</t>
  </si>
  <si>
    <t>Благоустрій міст, сіл, селищ</t>
  </si>
  <si>
    <t xml:space="preserve"> - утримання у належному стані пляжів</t>
  </si>
  <si>
    <t xml:space="preserve"> - утримання ТЗРДР</t>
  </si>
  <si>
    <t xml:space="preserve"> - технічне обслуговування апаратури диспетчерського зв'язку системи вуличного освітлення, ліквідація аваріних ситуацій мереж зовнішнього освітлення</t>
  </si>
  <si>
    <t xml:space="preserve"> - розподіл, транспортування та споживання електричної енергії  світлофорними об'єктами та мережами зовнішнього освітлення</t>
  </si>
  <si>
    <t xml:space="preserve"> -  вивіз трупів з місць подій</t>
  </si>
  <si>
    <t>Капітальні вкладення</t>
  </si>
  <si>
    <t>Видатки на проведення робіт, пов'язаних із будівництвом, реконструкцією, ремонтом та утриманням автомобільних доріг</t>
  </si>
  <si>
    <t xml:space="preserve"> - поточний ремонт  доріг </t>
  </si>
  <si>
    <t xml:space="preserve"> - капітальний ремонт доріг</t>
  </si>
  <si>
    <t>Загальний фонд</t>
  </si>
  <si>
    <t>Спеціальний фонд</t>
  </si>
  <si>
    <t xml:space="preserve"> - придбання матеріалів, обладнання, інвентарю, спецтехніки для благоустрію міста (довгострокового користування)</t>
  </si>
  <si>
    <t xml:space="preserve"> - обслуговування та  ремонт мереж зовнішнього освітлення </t>
  </si>
  <si>
    <t xml:space="preserve"> -  ремонт та утримання у належному стані міських кладовищ </t>
  </si>
  <si>
    <t xml:space="preserve"> -  утримання та  ремонт штучних споруд </t>
  </si>
  <si>
    <t>Настання несприятливих погодних умов які порушують технологію виконання робіт</t>
  </si>
  <si>
    <t>Кошти було виділено за підсумками виконання бюджету за перше піврічча 2016року лише в серпні, була потреба в проведенні відкритих конкурних торгів, потреба додаткового часу на виготовлення ПДК та отримання експертизи;настання несприятливих погодних умои</t>
  </si>
  <si>
    <t xml:space="preserve"> - зимове утримання доріг </t>
  </si>
  <si>
    <t>Економія коштів  за результатами проведення процедури закупівель</t>
  </si>
  <si>
    <t>частину придбаної техіки було повернуто постачальникам у звязку з невідповідністю технічним вимогам</t>
  </si>
  <si>
    <t>Кошти на проведення техніко-економічного обгрунтування  та надання рекомендацій щодо проведення капітального ремонту Південнобузького мосту не були використані з причини практичної відсутності відповідних спеціалістів  в Україні та значних термінів проведення таких робіт</t>
  </si>
  <si>
    <t>Економія коштів на енергоносії</t>
  </si>
  <si>
    <t>Економія коштів за рахунок погодних умов</t>
  </si>
  <si>
    <t>Перевиконання спричинено необхідністю ліквідації аварійних ситуацій згідно приписів нац. поліції</t>
  </si>
  <si>
    <t>Економія за рахунок  раннього закриття сезону</t>
  </si>
  <si>
    <t>Несвоєчасне доопрацювання підрядними підприємствами зауважень щодо договірного пакету документів</t>
  </si>
  <si>
    <t>Закінчення бюджетного року, перехідний період</t>
  </si>
  <si>
    <t>Економія коштів за рахунок модернізаціїї  технічного обладнання</t>
  </si>
  <si>
    <t xml:space="preserve">Постачальник не поставив весь об'єм солі передбаченого договором (єдиний в України постачальник, значна завантаженість). </t>
  </si>
  <si>
    <t>Виконано за 2016 рік</t>
  </si>
  <si>
    <t>Сума                            тис. грн.</t>
  </si>
  <si>
    <t>Об'єм</t>
  </si>
  <si>
    <t xml:space="preserve"> - придбання матеріалів, обладнання, інвентарю, спецтехніки для благоустрію міста  (у т.ч. придбання піщано-сольової суміши: пісок, сіль)</t>
  </si>
  <si>
    <t>1327т,     4000т.</t>
  </si>
  <si>
    <t>ЗВІТ Комунального господарства за 2016 рік.</t>
  </si>
  <si>
    <t>Пояснення</t>
  </si>
  <si>
    <t>2 од.</t>
  </si>
  <si>
    <t>4 од.</t>
  </si>
  <si>
    <t>7 од.</t>
  </si>
  <si>
    <t>550 км,        810 т. снігу</t>
  </si>
  <si>
    <t xml:space="preserve"> - утримання в належному технічному стані об'єктів вулично-дорожньої мережі: </t>
  </si>
  <si>
    <t>попередження та усунення місць концентрації ДТП</t>
  </si>
  <si>
    <t>поточний ремонт тротуарів</t>
  </si>
  <si>
    <t>8800 м2</t>
  </si>
  <si>
    <t xml:space="preserve">1950 м2 </t>
  </si>
  <si>
    <t>догляд</t>
  </si>
  <si>
    <t>прибирання</t>
  </si>
  <si>
    <t>11259,93 тис. м2</t>
  </si>
  <si>
    <t>очищення</t>
  </si>
  <si>
    <t>поточний ремонт</t>
  </si>
  <si>
    <t>1055 од. 20424м2</t>
  </si>
  <si>
    <t xml:space="preserve"> - поточний ремонт та очищення дощової каналізації  і дощоприймачів</t>
  </si>
  <si>
    <t>53 од.              1580 м.п.</t>
  </si>
  <si>
    <t>- експл. світлоф. об’єктів</t>
  </si>
  <si>
    <t>електроен.потреб.</t>
  </si>
  <si>
    <t>- експл. с/о «Зелена хвиля»</t>
  </si>
  <si>
    <t>- експл. с/о, які входять до АСУДР</t>
  </si>
  <si>
    <t>- експл. ЦУП АСУДР</t>
  </si>
  <si>
    <t>розробка схем розташування ТРЗРД</t>
  </si>
  <si>
    <t xml:space="preserve"> - уставка, заміна дорожніх знаків</t>
  </si>
  <si>
    <t>впров.пристр.зменш.швидк."лежачий поліцейський"</t>
  </si>
  <si>
    <t>експл.дор.знаків</t>
  </si>
  <si>
    <t>встановлення,заміна та відновл.НПО</t>
  </si>
  <si>
    <t>експлуатація НПО</t>
  </si>
  <si>
    <t>99 од.</t>
  </si>
  <si>
    <t>578315 кВт</t>
  </si>
  <si>
    <t>30 од.</t>
  </si>
  <si>
    <t>1 од.</t>
  </si>
  <si>
    <t>110 од.</t>
  </si>
  <si>
    <t>1664 од.</t>
  </si>
  <si>
    <t>130,8 п.м.</t>
  </si>
  <si>
    <t>1549 од.</t>
  </si>
  <si>
    <t>893 п.м.</t>
  </si>
  <si>
    <t>93 п.м.</t>
  </si>
  <si>
    <t>107,227 км</t>
  </si>
  <si>
    <t>10372,61 тис. км</t>
  </si>
  <si>
    <t>449 м2</t>
  </si>
  <si>
    <t>дорожня розмітка повздовжня</t>
  </si>
  <si>
    <t>дорожня розмітка поперечна</t>
  </si>
  <si>
    <t>дорожня розмітка холодним пластиком</t>
  </si>
  <si>
    <t xml:space="preserve">12729 од. ламп </t>
  </si>
  <si>
    <t xml:space="preserve">1899 світильн.,    82 опори          </t>
  </si>
  <si>
    <t>охорона</t>
  </si>
  <si>
    <t xml:space="preserve">прибирання </t>
  </si>
  <si>
    <t>утримання</t>
  </si>
  <si>
    <t>поточний ремонт кабодажного молу</t>
  </si>
  <si>
    <t>130 м2 настилу</t>
  </si>
  <si>
    <t>транспортування та розподіл</t>
  </si>
  <si>
    <t>електроенергія для зовн. освітлення</t>
  </si>
  <si>
    <t>66,1 км.каб.</t>
  </si>
  <si>
    <t>1158271 кВт</t>
  </si>
  <si>
    <t>електроенергія для світлофорів</t>
  </si>
  <si>
    <t>приєднання до еклектромереж</t>
  </si>
  <si>
    <t xml:space="preserve"> Казакова Т.В. - 47,961 тис. грн -підрядною організацією не було своєчасно доопрацьовано договірний пакет документів; Лєпішев О.О. - 60,000 тис. грн -  роботи планувалося виконати сумісно із поточним ремонтом  прилеглого внутрішньоквартальниого проїзду (роботи не були розпочаті у зв'язку із погодними умовами); Танасевич З.Н. - 0,289 тис. грн. - економія коштів;  Апанасенко В.В. - 60,655 тис. грн - підрядною організацією не було своєчасно доопрацьовано договірний пакет документів; Кучкаров С.С. - 0,378 тис. грн - економія коштів; Концевой І.О. - 95,000 тис. грн - депутат надав свої пропозиції щодо об'єктів виконання робіт наприкінці року. За результатами обстеження було з'ясовано, що зазначені об'єкти потребують не поточного, а капітального ремонту.</t>
  </si>
  <si>
    <t>1029 тіл</t>
  </si>
  <si>
    <t>доріг</t>
  </si>
  <si>
    <t>внутрішньоквартальних проїздів</t>
  </si>
  <si>
    <t>вул. 5 Слобідська від вул. Чкалова до вул. Севастопольська (вздовж ЗОШ № 3 та ДНЗ № 2)</t>
  </si>
  <si>
    <t>підїзна дорога до кладовища від вул. Троїцька до військової частини</t>
  </si>
  <si>
    <t>вул. 2 Набережна</t>
  </si>
  <si>
    <t>вул. Казарського</t>
  </si>
  <si>
    <t>пр. Центральний (парний бік)</t>
  </si>
  <si>
    <t>пр. Центральний (непарний бік)</t>
  </si>
  <si>
    <t>пр. Богоявленський від Широкобальського шляхопроводу до вул. Херсонське шосе</t>
  </si>
  <si>
    <t>пр. Богоявленський від вул. Маячна до вул. Ушакова</t>
  </si>
  <si>
    <t>вул. Озерна</t>
  </si>
  <si>
    <t>пр. Миру від вул. Новозаводська до вул. Будівельників</t>
  </si>
  <si>
    <t>вул. Садова від вул. Нікольська до вул. Кузнецька</t>
  </si>
  <si>
    <t>вул. Чкалова від пр. Богоявленський до вул. Московська</t>
  </si>
  <si>
    <t>вул. В.Морська від вул. 1 Воєнна до вул. Пушкінська</t>
  </si>
  <si>
    <t>вул. Курортна</t>
  </si>
  <si>
    <t>вул. Г.Карпенка</t>
  </si>
  <si>
    <t>вул. Лягіна від вул. Адміральська до пр. Центральний</t>
  </si>
  <si>
    <t>вул. 8 Березня</t>
  </si>
  <si>
    <t>вул. Робоча</t>
  </si>
  <si>
    <t>вул. Наварінська</t>
  </si>
  <si>
    <t>вул. Фалеєвська</t>
  </si>
  <si>
    <t>вул. Олександра Янати</t>
  </si>
  <si>
    <t>вул. Бузький бульвар від вул. Шосейна до вул. В.Морська</t>
  </si>
  <si>
    <t>вул. Троїцька від вул. Кругова до вул. 2 Набережна, від вул. Апрельська до вул. Космонавтів</t>
  </si>
  <si>
    <t>вул. Громадянська від пр. Центральний до вул. Адміральська</t>
  </si>
  <si>
    <t>вул. Обсерваторна</t>
  </si>
  <si>
    <t>вул. Декабристів від пр. Центральний до вул. Адм.Макарова</t>
  </si>
  <si>
    <t>вул. Космонавтів від пр. Миру до вул. Троїцька</t>
  </si>
  <si>
    <t>вул. Космонавтів від вул. Миколаївська до пр. Миру</t>
  </si>
  <si>
    <t>вул. Лагерне поле</t>
  </si>
  <si>
    <t>вул. Вінграновського від вул. Новозаводська до вул. Троїцька</t>
  </si>
  <si>
    <t>вул. Оберегова</t>
  </si>
  <si>
    <t>вул. Залізнична</t>
  </si>
  <si>
    <t>вул. Айвазовського</t>
  </si>
  <si>
    <t>вул. 1 Воєнна ріг вул. Котельна</t>
  </si>
  <si>
    <t>вул. Металургів</t>
  </si>
  <si>
    <t>вул. Чайковського</t>
  </si>
  <si>
    <t>вул. Електронна</t>
  </si>
  <si>
    <t>вул. Крилова</t>
  </si>
  <si>
    <t>об'їзна дорога від вул. О.Вишні до пр. Богоявленський</t>
  </si>
  <si>
    <t xml:space="preserve">вул. Миколаївська від вул. Космонавтів до вул. Театральна </t>
  </si>
  <si>
    <t>вул. Батуріна</t>
  </si>
  <si>
    <t>вул. Молодогвардійська</t>
  </si>
  <si>
    <t>частина путепроводу у мкр. Ш.Балка</t>
  </si>
  <si>
    <t xml:space="preserve">пров. Кур'єрський </t>
  </si>
  <si>
    <t>вул. 3 Повздовжня від вул. Гмирьова до вул. Космонавтів</t>
  </si>
  <si>
    <t>вул. Адміралтейська площа</t>
  </si>
  <si>
    <t>вул. Арх.Старова</t>
  </si>
  <si>
    <t>вул. Набережна</t>
  </si>
  <si>
    <t>вул. 68 Десантників</t>
  </si>
  <si>
    <t>вул. Нікольська від вул. Садова до вул. Фалеєвська</t>
  </si>
  <si>
    <t>вул. Шнеєрсона від пр. Центральний до вул. В.Морська</t>
  </si>
  <si>
    <t>вул. Новобузька від вул. Троїцької до вул. Електронної</t>
  </si>
  <si>
    <t>вул. Адміральська</t>
  </si>
  <si>
    <t>вул. Південна в районі трамвайоного переїзду</t>
  </si>
  <si>
    <t>вул. Театральна в районі трамвайоного переїзду</t>
  </si>
  <si>
    <t>вул. Малко-Тернівська</t>
  </si>
  <si>
    <t>Перехрестя вул. Корабелів та вул. Радісна</t>
  </si>
  <si>
    <t>вул. Комкова від пров. Корабелів до вул. Корабелів</t>
  </si>
  <si>
    <t>вул. Потьомкінська від вул. Пушкінська до вул. Наваринська</t>
  </si>
  <si>
    <t>вул. Турбінна від буд. № 1 до буд. №15/3 в м. Миколаєві</t>
  </si>
  <si>
    <t>вул. Новозаводська від вул. Дніпровська до вул. Троїцька</t>
  </si>
  <si>
    <t>354,9 м2</t>
  </si>
  <si>
    <t>503 м2</t>
  </si>
  <si>
    <t>641 м2</t>
  </si>
  <si>
    <t>1578 м2</t>
  </si>
  <si>
    <t>10940 м2</t>
  </si>
  <si>
    <t>10935 м2</t>
  </si>
  <si>
    <t>10870 м2</t>
  </si>
  <si>
    <t>730 м2</t>
  </si>
  <si>
    <t>2070 м2</t>
  </si>
  <si>
    <t>1084 м2</t>
  </si>
  <si>
    <t>1476 м2</t>
  </si>
  <si>
    <t>160,4 м2</t>
  </si>
  <si>
    <t>589 м2</t>
  </si>
  <si>
    <t>574 м2</t>
  </si>
  <si>
    <t>474 м2</t>
  </si>
  <si>
    <t>450,5 м2</t>
  </si>
  <si>
    <t>600 м2</t>
  </si>
  <si>
    <t>351 м2</t>
  </si>
  <si>
    <t>282,6 м2</t>
  </si>
  <si>
    <t>680 м2</t>
  </si>
  <si>
    <t>482 м2</t>
  </si>
  <si>
    <t>1972 м2</t>
  </si>
  <si>
    <t>418,6 м2</t>
  </si>
  <si>
    <t>310 м2</t>
  </si>
  <si>
    <t>632,2 м2</t>
  </si>
  <si>
    <t>2300 м2</t>
  </si>
  <si>
    <t>4755 м2</t>
  </si>
  <si>
    <t>622 м2</t>
  </si>
  <si>
    <t>260 м2</t>
  </si>
  <si>
    <t>520 м2</t>
  </si>
  <si>
    <t>2610 м2</t>
  </si>
  <si>
    <t>3012 м2</t>
  </si>
  <si>
    <t>512 м2</t>
  </si>
  <si>
    <t>2109 м2</t>
  </si>
  <si>
    <t>880 м2</t>
  </si>
  <si>
    <t>1010 м2</t>
  </si>
  <si>
    <t>690 м2</t>
  </si>
  <si>
    <t>1961 м2</t>
  </si>
  <si>
    <t>2225 м2</t>
  </si>
  <si>
    <t>3000 м2</t>
  </si>
  <si>
    <t>2410 м2</t>
  </si>
  <si>
    <t>280 м2</t>
  </si>
  <si>
    <t>630 м2</t>
  </si>
  <si>
    <t>1200 м2</t>
  </si>
  <si>
    <t>3300 м2</t>
  </si>
  <si>
    <t>960 м2</t>
  </si>
  <si>
    <t>746 м2</t>
  </si>
  <si>
    <t>590 м2</t>
  </si>
  <si>
    <t>1473 м2</t>
  </si>
  <si>
    <t>2000 м2</t>
  </si>
  <si>
    <t>800 м2</t>
  </si>
  <si>
    <t>2704 м2</t>
  </si>
  <si>
    <t>170 м2</t>
  </si>
  <si>
    <t>196 м2</t>
  </si>
  <si>
    <t>1650 м2</t>
  </si>
  <si>
    <t>180 м2</t>
  </si>
  <si>
    <t>550 м2</t>
  </si>
  <si>
    <t>1500 м2</t>
  </si>
  <si>
    <t>3600 м2</t>
  </si>
  <si>
    <t>вул. Нагірна від вул. 10 Лінія до вул. 9 Лінія</t>
  </si>
  <si>
    <t>вул. Лазурна</t>
  </si>
  <si>
    <t>3750 м2</t>
  </si>
  <si>
    <t>вул. Адм.Макарова, 56</t>
  </si>
  <si>
    <t>вул. 2 Екіпажна, 3</t>
  </si>
  <si>
    <t>вул. Обсерваторна, 2</t>
  </si>
  <si>
    <t>вул. Спаська, 14</t>
  </si>
  <si>
    <t>пр. Г.Сталінграду, 8, 10</t>
  </si>
  <si>
    <t>пр. Г.Сталінграду, 63-75, 75в-75г</t>
  </si>
  <si>
    <t>вул. Артилерійська, 1 вул. Лагерне поле 5Б/1, 5Б/2</t>
  </si>
  <si>
    <t>вул. Декабристів, 25</t>
  </si>
  <si>
    <t>вул. Бузніка, 10, 12</t>
  </si>
  <si>
    <t>пр. Центральний, 5, 7</t>
  </si>
  <si>
    <t>вул. Садова, 46/1</t>
  </si>
  <si>
    <t>вул. Садова проїзд вздовж буд. 46/2 та 48</t>
  </si>
  <si>
    <t>вул. Садова, 46/4</t>
  </si>
  <si>
    <t>вул. Г.Карпенка, 39-41</t>
  </si>
  <si>
    <t>вул. Г.Карпенка, 43а</t>
  </si>
  <si>
    <t>вул. Крилова, 2</t>
  </si>
  <si>
    <t>вул. Погранична, 150, 150/1</t>
  </si>
  <si>
    <t>вул. Біла, 61а</t>
  </si>
  <si>
    <t>вул. Г.Карпенка, 49/1</t>
  </si>
  <si>
    <t>вул. Крилова, 38б</t>
  </si>
  <si>
    <t>вул. Космонавтів, 73</t>
  </si>
  <si>
    <t>вул. 3 Лінія, 17</t>
  </si>
  <si>
    <t>вул. Китобоїв, 6</t>
  </si>
  <si>
    <t>пр. Миру, 42</t>
  </si>
  <si>
    <t>пр. Миру, 44</t>
  </si>
  <si>
    <t>пр. Миру, 17б</t>
  </si>
  <si>
    <t xml:space="preserve">вул. Космонавтів, 72 </t>
  </si>
  <si>
    <t>вул. Космонавтів, 74-А</t>
  </si>
  <si>
    <t>вул. Чорновола, 7</t>
  </si>
  <si>
    <t>вул. Чорновола, 5</t>
  </si>
  <si>
    <t>вул. Чорновола, 3 вул. Херсонське шосе, 96</t>
  </si>
  <si>
    <t>вул. Космонавтів, 67, вул. Херсонське шосе, 92</t>
  </si>
  <si>
    <t>вул. Херсонське шосе, 94</t>
  </si>
  <si>
    <t>вул. Космонавтів, 69</t>
  </si>
  <si>
    <t>вул. Космонавтів, 71</t>
  </si>
  <si>
    <t>вул. Вокзальна, 51, 53</t>
  </si>
  <si>
    <t>вул. Вокзальна, 55, 57, 59, 61</t>
  </si>
  <si>
    <t>вул. 1 Лінія, 34-А</t>
  </si>
  <si>
    <t>вул. Театральна від пр. Миру до вул. Миколаївська</t>
  </si>
  <si>
    <t>1813 м2</t>
  </si>
  <si>
    <t>17494,3 м2</t>
  </si>
  <si>
    <t>123009 м2</t>
  </si>
  <si>
    <t>140503,3 м2</t>
  </si>
  <si>
    <t>2 од. ПКД</t>
  </si>
  <si>
    <t xml:space="preserve">Кошти було виділено за підсумками виконання бюджету за перше піврічча 2016року лише в серпні, через затримку в виготовленні проектно-кошторисної документації та її експертизи, не вистачило часу на виконання робіт. </t>
  </si>
  <si>
    <t>1 од. ПКД</t>
  </si>
  <si>
    <t xml:space="preserve">Кошти було виділено за підсумками виконання бюджету за перше піврічча 2016року лише в серпні, через затримку  погодження місць розташування відеокамер правоохоронними органами, виготовлення проектно-кошторисної документації та проведення її експертизи затягнулось, тож не вистачило часу на виконання робіт. </t>
  </si>
  <si>
    <t>792 м/п</t>
  </si>
  <si>
    <t>вул. Бузька від вул. Одеське шосе до вул. Північна</t>
  </si>
  <si>
    <t>вул. Південна від пр. Миру до пр. Богоявленський</t>
  </si>
  <si>
    <t>вул. Театральна від вул. Миколаївська до пр. Богоявленський</t>
  </si>
  <si>
    <t>вул. Паромний Узвіз від вул. 1 Інгульська до вул. 2 Набережна</t>
  </si>
  <si>
    <t>пр. Центральний від вул. 8 Березня до вул. Рюміна (непарний бік)</t>
  </si>
  <si>
    <t>вул. 1 Воєнна від вул. 2 Екіпажна до вул. Набережна</t>
  </si>
  <si>
    <t>пр. Центральний ріг вул. Г.Карпенка</t>
  </si>
  <si>
    <t>пр. Центральний ріг вул. Садова</t>
  </si>
  <si>
    <t>пр. Центральний від вул. П.Комуни до вул. Водопровідна (непарний бік)</t>
  </si>
  <si>
    <t>перехрестя вул. Електронна та вул. Троїцька</t>
  </si>
  <si>
    <t>вул. Курортна від вул. Київська до вул. Озерна</t>
  </si>
  <si>
    <t>вул. Шнеєрсона від вул. В.Морська  до вул. Нікольська</t>
  </si>
  <si>
    <t>перехрестя вул.Залізнична та пров.Залізничний</t>
  </si>
  <si>
    <t>пр. Богоявленський ріг вул. Олійника</t>
  </si>
  <si>
    <t>вул. 2 Екіпажна від вул. 1 Воєнна до вул. 3 Воєнна</t>
  </si>
  <si>
    <t>пр. Центральний від вул. Садова до вул. Інженерна (парний бік)</t>
  </si>
  <si>
    <t>вул. Рюміна від пр. Центральний до вул. Сінна</t>
  </si>
  <si>
    <t>роз'вязка кільцевого типу по пр. Миру перехрестя вул. Космонавтів</t>
  </si>
  <si>
    <t>пр. Центральний від вул. Маршала Василевського до пр. Богоявленський (непарний бік)</t>
  </si>
  <si>
    <t>пр. Центральний від пр. Богоявленський до вул. Маршала Василевського (парний бік)</t>
  </si>
  <si>
    <t>вул. Інженерна від вул. Потьомкінська до вул. Нікольська</t>
  </si>
  <si>
    <t>пров. Львівський ріг вул. Степова</t>
  </si>
  <si>
    <t>вул. 4 Поздовжня від вул. Космонавтів до вул. Гмирьова</t>
  </si>
  <si>
    <t>вул. Новозаводська (ПКД)</t>
  </si>
  <si>
    <t>вул. Турбінна (ПКД)</t>
  </si>
  <si>
    <t>вул. Гагаріна від вул. Фруктова до пров. Гагаріна</t>
  </si>
  <si>
    <t>Майданчик для паркування автомобілів біля парку "Перемоги"</t>
  </si>
  <si>
    <t>пр. Богоявленський від вул. Гагаріна до вул. Андрія Антонюка</t>
  </si>
  <si>
    <t>вул. Троїцька від шляхопроводу до вул. Космонавтів</t>
  </si>
  <si>
    <t>вул. Мала Морська від пр. Центрального до вул. Шевченка</t>
  </si>
  <si>
    <t>пров. Кобера від пр. Богоявленського до вул. Зелена</t>
  </si>
  <si>
    <t>пр. Богоявленьский від вул. Космонавтів до вул. Старофортечна, від Широкобальського шляхопроводу до вул. Маячна</t>
  </si>
  <si>
    <t>вул. Кругова від вул. 6 Інгульська до вул. Троїцька</t>
  </si>
  <si>
    <t>пр. Центральний від вул. Рюміна до вул. Водопроводна (парний бік)</t>
  </si>
  <si>
    <t>пр. Центральний від вул. Садова до вул. 3 Слобідська (непарний бік)</t>
  </si>
  <si>
    <t>пр. Богоявленський від вул. Кузнецька до вул. Авангардна</t>
  </si>
  <si>
    <t>вул. Шевченка від вул. Декабристів до вул. Московська (ПКД)</t>
  </si>
  <si>
    <t>пр. Центральний від вул. Соборна до вул. Інженерна (непарний бік)</t>
  </si>
  <si>
    <t>Капітальний ремонт дорожнього покриття по вул. Нікольська від вул. 1 Слобідська до вул. Садова в м.Миколаєві</t>
  </si>
  <si>
    <t>пр. Центральний, 96</t>
  </si>
  <si>
    <t>вул. Погранична, 43, 43-а</t>
  </si>
  <si>
    <t>вул. Погранична, 150, корпус 7</t>
  </si>
  <si>
    <t>вул. Погранична, 150, корпус 5</t>
  </si>
  <si>
    <t>вздовж будинку № 48 по вул. Садова та біля будинків №№ 46/6, 46/5, 46/2</t>
  </si>
  <si>
    <t>вул. Космонавтів, 104</t>
  </si>
  <si>
    <t>вул. 1 Лінія, 34</t>
  </si>
  <si>
    <t xml:space="preserve">вул. Олега Ольжича, 1а, 1б, 1в, вул. Айвазовського, 3 </t>
  </si>
  <si>
    <t xml:space="preserve">вул. Океанівська, 45, 47, 48, 50, 54 </t>
  </si>
  <si>
    <t>вул. Олега Ольжича, 3а, 3б, 3в, 3г, 3д</t>
  </si>
  <si>
    <t>вул. Олега Ольжича, 5б, 5г</t>
  </si>
  <si>
    <t>вул. Океанівська, 36, 38, 38а, 38б</t>
  </si>
  <si>
    <t>Капітальний ремонт внутрішньоквартальних проїздів вздовж будинків по вул. Потьомкінська 141, 143, 143а, 153, та по вул. Колодязна 6, 8 в м. Миколаєві</t>
  </si>
  <si>
    <t>Капітальний ремонт внутрішньоквартальних проїздів вздовж будинків по вул. 3-я Слобідська 50, 52, 54, 56  в м.Миколаєві</t>
  </si>
  <si>
    <t>Капітальний ремонт внутрішньоквартальних проїздів вздовж будинків по провулку Парусний 1, 7а, 9б, 11, 11а в м. Миколаєві</t>
  </si>
  <si>
    <t>Капітальний ремонт внутрішньоквартальних проїздів вздовж будинків по вул. Архітектора Старова 4б, 6, 6а, 6в, 10 в м. Миколаєві</t>
  </si>
  <si>
    <t>Капітальний ремонт внутрішньоквартальних проїздів  по вул. Адміральська, 2а, 2/2, 2/3, 2/4, 2/5, 2/6, 2/7 до вул. Артилерійська, 2  в м. Миколаєві</t>
  </si>
  <si>
    <t>Капітальний ремонт внутрішньоквартальних проїздів вздовж будинків по вул. Чкалова 98а, 98б в м. Миколаєві</t>
  </si>
  <si>
    <t>Капітальний ремонт внутрішньоквартальних проїздів вздовж будинків по вул. Чкалова 100, 100а в м. Миколаєві</t>
  </si>
  <si>
    <t>Капітальний ремонт внутрішньоквартальнного проїзду вздовж будинку по проспект Центральний 151 в м. Миколаєві</t>
  </si>
  <si>
    <t>Капітальний ремонт внутрішньоквартальнного проїзду вздовж будинку по пр. Центральний 149 в м. Миколаєві</t>
  </si>
  <si>
    <t>Капітальний ремонт внутрішньоквартальних проїздів вздовж будинків по пр. Центральний, 187, 189 в м. Миколаєві</t>
  </si>
  <si>
    <t>Капітальний ремонт внутрішньоквартального проїзду біля будинку № 149 по вул. Потьомкінська в м. Миколаєві</t>
  </si>
  <si>
    <t>вул. Крилова від вул. Курортна до ЗОШ №52</t>
  </si>
  <si>
    <t>вул. Лазурна від вул Озерна до прибережної зони</t>
  </si>
  <si>
    <t>1100 м2</t>
  </si>
  <si>
    <t>720 м2</t>
  </si>
  <si>
    <t>2250 м2</t>
  </si>
  <si>
    <t>616 м2</t>
  </si>
  <si>
    <t>424 м2</t>
  </si>
  <si>
    <t>420 м2</t>
  </si>
  <si>
    <t>2002 м2</t>
  </si>
  <si>
    <t>1288 м2</t>
  </si>
  <si>
    <t>717 м2</t>
  </si>
  <si>
    <t>2680 м2</t>
  </si>
  <si>
    <t>2015 м2</t>
  </si>
  <si>
    <t>3555 м2</t>
  </si>
  <si>
    <t>3210 м2</t>
  </si>
  <si>
    <t>3456 м2</t>
  </si>
  <si>
    <t>1766 м2</t>
  </si>
  <si>
    <t>3540 м2</t>
  </si>
  <si>
    <t>4032 м2</t>
  </si>
  <si>
    <t>3060 м2</t>
  </si>
  <si>
    <t>846 м2</t>
  </si>
  <si>
    <t>1351 м2</t>
  </si>
  <si>
    <t>1043 м2</t>
  </si>
  <si>
    <t>716 м2</t>
  </si>
  <si>
    <t>185 м2</t>
  </si>
  <si>
    <t>220 м2</t>
  </si>
  <si>
    <t>5442 м2</t>
  </si>
  <si>
    <t>193175 м2</t>
  </si>
  <si>
    <t>3250 м2</t>
  </si>
  <si>
    <t>4540 м2</t>
  </si>
  <si>
    <t>2513 м2</t>
  </si>
  <si>
    <t>11137 м2</t>
  </si>
  <si>
    <t>43149 м2</t>
  </si>
  <si>
    <t>4076 м2</t>
  </si>
  <si>
    <t>3200 м2</t>
  </si>
  <si>
    <t>2550 м2</t>
  </si>
  <si>
    <t>3100 м2</t>
  </si>
  <si>
    <t>6476 м2</t>
  </si>
  <si>
    <t>3753 м2</t>
  </si>
  <si>
    <t>2586 м2</t>
  </si>
  <si>
    <t>1300 м2</t>
  </si>
  <si>
    <t>755 м2</t>
  </si>
  <si>
    <t>1620 м2</t>
  </si>
  <si>
    <t>2690 м2</t>
  </si>
  <si>
    <t>3410 м2</t>
  </si>
  <si>
    <t>8309 м2</t>
  </si>
  <si>
    <t>3850 м2</t>
  </si>
  <si>
    <t>4570 м2</t>
  </si>
  <si>
    <t>4690 м2</t>
  </si>
  <si>
    <t>3780 м2</t>
  </si>
  <si>
    <t>8255 м2</t>
  </si>
  <si>
    <t>5283 м2</t>
  </si>
  <si>
    <t>1348 м2</t>
  </si>
  <si>
    <t>4407 м2</t>
  </si>
  <si>
    <t>1160 м2</t>
  </si>
  <si>
    <t>1960 м2</t>
  </si>
  <si>
    <t>14400 м2</t>
  </si>
  <si>
    <t>2844 м2</t>
  </si>
  <si>
    <t>1880 м2</t>
  </si>
  <si>
    <t>1322 м2</t>
  </si>
  <si>
    <t>13400 м2</t>
  </si>
  <si>
    <t>700 м2</t>
  </si>
  <si>
    <t>вул. Погранична (ПКД)</t>
  </si>
  <si>
    <t>вул. 2 Набережна (ПКД)</t>
  </si>
  <si>
    <t>вул. Космонавтів біля санаторію "Дубки" (ПКД)</t>
  </si>
  <si>
    <t>16 од.</t>
  </si>
  <si>
    <t>Несвоєчасне доопрацювання проектними організаціями зауважень щодо договірного пакету документів та затримки під час отримання технічних умов</t>
  </si>
  <si>
    <t xml:space="preserve"> - капітальний ремонт тротуарів </t>
  </si>
  <si>
    <t xml:space="preserve"> - капітальний ремонт зливової каналізації</t>
  </si>
  <si>
    <t xml:space="preserve"> - капітальний ремонт системи відеоспостереження</t>
  </si>
  <si>
    <t xml:space="preserve"> - капітальний ремонт мереж зовнішнього освітлення</t>
  </si>
  <si>
    <t>Кошти було виділено у жовтні 2016,  невикоритання у повному обсязі з причини затримки виготовлення ПКД, отримання позитивного висновку експертизи  та у зв'язку з настянням несприятливих погодних умов.</t>
  </si>
  <si>
    <t>7 од. ПКД</t>
  </si>
  <si>
    <r>
      <t xml:space="preserve"> Об'єкти ДЖКГ: </t>
    </r>
    <r>
      <rPr>
        <sz val="11"/>
        <color theme="1"/>
        <rFont val="Calibri"/>
        <family val="2"/>
      </rPr>
      <t xml:space="preserve">Із запланованого будівництва 5 світлофорних об'єктів було побудовано лише 1 та за іншими 4 викоготовлено ПКД   (не використано 1759,75 тис. грн.)- документи тривалий час знаходилися  на погодженні в нац. поліції, усувались зауваження відповідно до їх вимог. Частина об'єктів  (не використано 195,0 тис. грн.) потребує коригування проектно-кошторисної документації (спортмайданчик у мкр. Ялти, будівництво дренажного колектору у  Широкій Балці).  У зв'язку із настанням несприятливих погодних умов не завершені  роботи  з будівництва огорожі мського полігону ТПВ в сел. В. Корениха (не використано 1544,885 тис. грн.) Не використано 200,00 тис. грн. на реконструкцію гуртожитку по вул. Нагірній, 73-А у зв'язку із відсутністю відводу землі, що унеможливлює виконання проектних робіт. Невикористання коштів  (1150,00 тис. грн) по реконструкції обєктів  зумовлено значним обсягом передпроектних робіт і погоджень та виділенням бюджених коштів лише в серпні 2016 року.  </t>
    </r>
    <r>
      <rPr>
        <b/>
        <sz val="11"/>
        <color indexed="8"/>
        <rFont val="Calibri"/>
        <family val="2"/>
      </rPr>
      <t xml:space="preserve">Об'єкти УКС: </t>
    </r>
    <r>
      <rPr>
        <sz val="11"/>
        <color theme="1"/>
        <rFont val="Calibri"/>
        <family val="2"/>
      </rPr>
      <t>Не використано 1163,682 тис. грн.  у зв'язку із необхідністю проведення коригування проектів на реконструкцію житлового будику по вул. Айвазовскього, 3 та будівництво водопроводу в мкр. Тернівка. За іншими об'єктами -  економія коштів за результатами виконаих робіт.</t>
    </r>
  </si>
  <si>
    <t>Співфінансування по об'єктам субвенції місцевим бюджетам з державного бюджету</t>
  </si>
  <si>
    <t>Капітальний ремонт внутрішньоквартальних проїздів вздовж будинків по вул. Архітектора Старова 8а, 86, 4в, в м. Миколаєві</t>
  </si>
  <si>
    <t>3 об'кти</t>
  </si>
  <si>
    <t>Економія коштів виникла в резцльтаті виконаних робіт</t>
  </si>
  <si>
    <t>2448 м2</t>
  </si>
  <si>
    <t>пр. Героїв України, 20, 20Г</t>
  </si>
  <si>
    <t>проїзд вздовж будинку по пр. Героїв України, 20-в</t>
  </si>
  <si>
    <t>пр. Героїв України, 17, 19, 21</t>
  </si>
  <si>
    <t>вул. Набережна перехрестя із вул. Шнеєрсона</t>
  </si>
  <si>
    <t>вул. Потьомкінська від вул. Нікольська до вул. Садова (ПКД)</t>
  </si>
  <si>
    <t>вул. Пушкінська ріг вул. Сінна (ПКД)</t>
  </si>
  <si>
    <t>вул. Пушкінська ріг вул. Защука (ПКД)</t>
  </si>
  <si>
    <t>47460 м2</t>
  </si>
  <si>
    <t>240635 м2</t>
  </si>
  <si>
    <t>Підрядне підприємство</t>
  </si>
  <si>
    <t>ТОВ "ТОРГОВИЙ ДІМ "КиП і Ко", 'ТОВ "Українська Вугільна Компанія</t>
  </si>
  <si>
    <t>КП "Миколаївська ритуальна служба"</t>
  </si>
  <si>
    <t>КП "ЕЛУ Автодоріг", ТОВ "Укрспецобладнання"</t>
  </si>
  <si>
    <t>КСМЕП</t>
  </si>
  <si>
    <t>КП ЕЛУ Автодоріг</t>
  </si>
  <si>
    <t>КП ЕЛУ Автодоріг, ТОВ "Миколаївавтодор"</t>
  </si>
  <si>
    <t>УДСО у Миколаївській області</t>
  </si>
  <si>
    <t>КП "ГДМБ"</t>
  </si>
  <si>
    <t>ДВГРЗ, КП "Миколаївська ритуальна служба"</t>
  </si>
  <si>
    <t>ПАТ "Миколаївобленерго"</t>
  </si>
  <si>
    <t>Миколаївська філія державного підприємства МВС України "Інформ-Ресурси"</t>
  </si>
  <si>
    <t>ТОВ "Дорлідер"</t>
  </si>
  <si>
    <t>ТОВ "Миколаївавтодор"</t>
  </si>
  <si>
    <t>МКП "Праця"</t>
  </si>
  <si>
    <t>КП "Дорога"</t>
  </si>
  <si>
    <t>ПАТ "ПШРБУ"</t>
  </si>
  <si>
    <t>ТОВ "Конкорд-3"</t>
  </si>
  <si>
    <t>ПП "Мартоян"</t>
  </si>
  <si>
    <t>ТОВ "Деметра Інтернешнл", ТОВ "Миколаївавтодор", ТОВ ""Дорпроектбудсервіс", БМП "Піраміда", ТОВ "Київ Нафта 200", ТОВ "Манах Никстрой", ТОВ "Конкорд 3", ТОВ БК "Дорлідер", ФОП Маргарян, ТОВ "Дельта-Ойл"</t>
  </si>
  <si>
    <t>ТОВ СТО «Зелений Гай»,  ТОВ «ВК Будагромаш, ПП «Альфатекс», ТОВ ВТК «Юждизельмаш», ПАТ ВО «Автотранспортник», ТОВ «Укріндустріалгруп», ПМП «Ехо»,   ТОВ «ДНІПРОПЕТР-КА ЛОГ-НА КОМП, ТОВ «Техноторг»</t>
  </si>
  <si>
    <t>ТОВ"КП"Архбюро"</t>
  </si>
  <si>
    <t>ТОВ"Светолюкс-Електромонтаж, 'ТзОВ"СВІТЛО-ДИЗАЙН"</t>
  </si>
  <si>
    <t>ФОП Тоболін О. А.</t>
  </si>
  <si>
    <t>НВТОВ"САДКО"</t>
  </si>
  <si>
    <t>ТОВ Віктехнології, БК "Миколаївміськбуд", ТОВ Вікпроект, ФОП Бойко, КСМЕП, ТОВ "Центрліфт", ДБК-ПРОЕКТ,  ТОВ "Миколаївпромбудмонтаж", ПП Зодчий</t>
  </si>
  <si>
    <t>ТОВ "Телеком-Енергосистеми"</t>
  </si>
  <si>
    <t>КП ГПВ АПБ</t>
  </si>
  <si>
    <t>ТОВ "Дорпроектбудсервіс"</t>
  </si>
  <si>
    <t>ТОВ "Проект-Комплект"</t>
  </si>
  <si>
    <t>ТОВ  БК"Дорлідер"</t>
  </si>
  <si>
    <t>МКП Праця</t>
  </si>
  <si>
    <t>ТОВ "ТЄЛУС"</t>
  </si>
  <si>
    <t>ТОВ"Светолюкс-Електромонтаж</t>
  </si>
  <si>
    <t>ТОВ "Деметра Інтернешнл",  ТОВ "Манах Никстрой",ТОВ ТД "Світло-Дизайн", ТОВ "Миколаївзеленгосп", ТОВ "ТЕРРА-НІКА"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</si>
</sst>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%"/>
    <numFmt numFmtId="182" formatCode="#,##0.00\ _г_р_н_."/>
    <numFmt numFmtId="183" formatCode="#,##0.00_р_."/>
    <numFmt numFmtId="184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80" fontId="0" fillId="0" borderId="0" xfId="0" applyNumberFormat="1" applyAlignment="1">
      <alignment wrapText="1"/>
    </xf>
    <xf numFmtId="0" fontId="46" fillId="0" borderId="0" xfId="0" applyFont="1" applyAlignment="1">
      <alignment/>
    </xf>
    <xf numFmtId="0" fontId="36" fillId="33" borderId="10" xfId="0" applyFont="1" applyFill="1" applyBorder="1" applyAlignment="1">
      <alignment wrapText="1"/>
    </xf>
    <xf numFmtId="180" fontId="36" fillId="33" borderId="10" xfId="0" applyNumberFormat="1" applyFont="1" applyFill="1" applyBorder="1" applyAlignment="1">
      <alignment wrapText="1"/>
    </xf>
    <xf numFmtId="9" fontId="46" fillId="0" borderId="10" xfId="0" applyNumberFormat="1" applyFont="1" applyFill="1" applyBorder="1" applyAlignment="1">
      <alignment wrapText="1"/>
    </xf>
    <xf numFmtId="0" fontId="36" fillId="33" borderId="10" xfId="0" applyFont="1" applyFill="1" applyBorder="1" applyAlignment="1">
      <alignment vertical="center" wrapText="1"/>
    </xf>
    <xf numFmtId="180" fontId="36" fillId="33" borderId="10" xfId="0" applyNumberFormat="1" applyFont="1" applyFill="1" applyBorder="1" applyAlignment="1">
      <alignment vertical="center" wrapText="1"/>
    </xf>
    <xf numFmtId="9" fontId="36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80" fontId="0" fillId="34" borderId="10" xfId="0" applyNumberForma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wrapText="1"/>
    </xf>
    <xf numFmtId="180" fontId="0" fillId="34" borderId="10" xfId="0" applyNumberFormat="1" applyFill="1" applyBorder="1" applyAlignment="1">
      <alignment wrapText="1"/>
    </xf>
    <xf numFmtId="9" fontId="46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9" fontId="46" fillId="0" borderId="10" xfId="0" applyNumberFormat="1" applyFont="1" applyFill="1" applyBorder="1" applyAlignment="1">
      <alignment vertical="center" wrapText="1"/>
    </xf>
    <xf numFmtId="10" fontId="36" fillId="33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180" fontId="46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0" fontId="0" fillId="0" borderId="10" xfId="0" applyNumberFormat="1" applyFill="1" applyBorder="1" applyAlignment="1">
      <alignment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 wrapText="1"/>
    </xf>
    <xf numFmtId="180" fontId="36" fillId="33" borderId="10" xfId="0" applyNumberFormat="1" applyFont="1" applyFill="1" applyBorder="1" applyAlignment="1">
      <alignment horizontal="center" wrapText="1"/>
    </xf>
    <xf numFmtId="9" fontId="36" fillId="33" borderId="10" xfId="0" applyNumberFormat="1" applyFont="1" applyFill="1" applyBorder="1" applyAlignment="1">
      <alignment horizontal="center" wrapText="1"/>
    </xf>
    <xf numFmtId="180" fontId="3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180" fontId="0" fillId="0" borderId="10" xfId="0" applyNumberFormat="1" applyFill="1" applyBorder="1" applyAlignment="1">
      <alignment horizontal="center" wrapText="1"/>
    </xf>
    <xf numFmtId="180" fontId="0" fillId="0" borderId="10" xfId="0" applyNumberForma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right" vertical="center" wrapText="1"/>
    </xf>
    <xf numFmtId="9" fontId="46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3" fontId="21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left" vertical="top" wrapText="1"/>
    </xf>
    <xf numFmtId="2" fontId="21" fillId="35" borderId="10" xfId="0" applyNumberFormat="1" applyFont="1" applyFill="1" applyBorder="1" applyAlignment="1">
      <alignment horizontal="center" vertical="center"/>
    </xf>
    <xf numFmtId="2" fontId="24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left" vertical="top" wrapText="1"/>
    </xf>
    <xf numFmtId="182" fontId="24" fillId="3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3" fontId="24" fillId="35" borderId="10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 vertical="center"/>
    </xf>
    <xf numFmtId="0" fontId="24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80" fontId="46" fillId="35" borderId="10" xfId="0" applyNumberFormat="1" applyFont="1" applyFill="1" applyBorder="1" applyAlignment="1">
      <alignment vertical="center" wrapText="1"/>
    </xf>
    <xf numFmtId="9" fontId="46" fillId="35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0" xfId="0" applyFill="1" applyAlignment="1">
      <alignment/>
    </xf>
    <xf numFmtId="0" fontId="48" fillId="35" borderId="10" xfId="0" applyFont="1" applyFill="1" applyBorder="1" applyAlignment="1">
      <alignment horizontal="center" vertical="center"/>
    </xf>
    <xf numFmtId="0" fontId="46" fillId="35" borderId="0" xfId="0" applyFont="1" applyFill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NumberFormat="1" applyFont="1" applyFill="1" applyBorder="1" applyAlignment="1">
      <alignment horizontal="center" vertical="center" wrapText="1"/>
    </xf>
    <xf numFmtId="184" fontId="21" fillId="35" borderId="10" xfId="0" applyNumberFormat="1" applyFont="1" applyFill="1" applyBorder="1" applyAlignment="1">
      <alignment horizontal="center" vertical="center"/>
    </xf>
    <xf numFmtId="184" fontId="24" fillId="35" borderId="10" xfId="0" applyNumberFormat="1" applyFont="1" applyFill="1" applyBorder="1" applyAlignment="1">
      <alignment horizontal="center" vertical="center"/>
    </xf>
    <xf numFmtId="180" fontId="21" fillId="35" borderId="10" xfId="0" applyNumberFormat="1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left" vertical="top" wrapText="1"/>
    </xf>
    <xf numFmtId="0" fontId="24" fillId="35" borderId="12" xfId="0" applyFont="1" applyFill="1" applyBorder="1" applyAlignment="1">
      <alignment horizontal="center" vertical="center"/>
    </xf>
    <xf numFmtId="183" fontId="24" fillId="35" borderId="12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/>
    </xf>
    <xf numFmtId="0" fontId="21" fillId="35" borderId="10" xfId="0" applyFont="1" applyFill="1" applyBorder="1" applyAlignment="1">
      <alignment horizontal="left" vertical="center" wrapText="1"/>
    </xf>
    <xf numFmtId="180" fontId="46" fillId="35" borderId="10" xfId="0" applyNumberFormat="1" applyFont="1" applyFill="1" applyBorder="1" applyAlignment="1">
      <alignment wrapText="1"/>
    </xf>
    <xf numFmtId="2" fontId="21" fillId="35" borderId="10" xfId="0" applyNumberFormat="1" applyFont="1" applyFill="1" applyBorder="1" applyAlignment="1">
      <alignment horizontal="center" vertical="center" wrapText="1"/>
    </xf>
    <xf numFmtId="2" fontId="24" fillId="35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vertical="center" wrapText="1"/>
    </xf>
    <xf numFmtId="180" fontId="36" fillId="33" borderId="10" xfId="0" applyNumberFormat="1" applyFont="1" applyFill="1" applyBorder="1" applyAlignment="1">
      <alignment horizontal="center" vertical="center" wrapText="1"/>
    </xf>
    <xf numFmtId="9" fontId="36" fillId="33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80" fontId="0" fillId="0" borderId="11" xfId="0" applyNumberFormat="1" applyFill="1" applyBorder="1" applyAlignment="1">
      <alignment wrapText="1"/>
    </xf>
    <xf numFmtId="180" fontId="46" fillId="0" borderId="10" xfId="0" applyNumberFormat="1" applyFont="1" applyFill="1" applyBorder="1" applyAlignment="1" quotePrefix="1">
      <alignment horizontal="center" vertical="center" wrapText="1"/>
    </xf>
    <xf numFmtId="180" fontId="0" fillId="0" borderId="0" xfId="0" applyNumberFormat="1" applyFill="1" applyBorder="1" applyAlignment="1">
      <alignment horizontal="center" wrapText="1"/>
    </xf>
    <xf numFmtId="180" fontId="0" fillId="0" borderId="10" xfId="0" applyNumberFormat="1" applyFill="1" applyBorder="1" applyAlignment="1" quotePrefix="1">
      <alignment horizontal="center" vertical="center" wrapText="1"/>
    </xf>
    <xf numFmtId="0" fontId="46" fillId="0" borderId="13" xfId="0" applyFont="1" applyFill="1" applyBorder="1" applyAlignment="1">
      <alignment wrapText="1"/>
    </xf>
    <xf numFmtId="180" fontId="0" fillId="0" borderId="13" xfId="0" applyNumberFormat="1" applyFill="1" applyBorder="1" applyAlignment="1">
      <alignment horizontal="center" vertical="center" wrapText="1"/>
    </xf>
    <xf numFmtId="9" fontId="46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top" wrapText="1"/>
    </xf>
    <xf numFmtId="180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80" fontId="36" fillId="0" borderId="12" xfId="0" applyNumberFormat="1" applyFont="1" applyBorder="1" applyAlignment="1">
      <alignment horizontal="center" vertical="center" wrapText="1"/>
    </xf>
    <xf numFmtId="180" fontId="36" fillId="0" borderId="13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235">
      <selection activeCell="F238" sqref="F238"/>
    </sheetView>
  </sheetViews>
  <sheetFormatPr defaultColWidth="9.140625" defaultRowHeight="15"/>
  <cols>
    <col min="1" max="1" width="42.8515625" style="2" customWidth="1"/>
    <col min="2" max="2" width="14.28125" style="3" customWidth="1"/>
    <col min="3" max="3" width="15.140625" style="3" customWidth="1"/>
    <col min="4" max="4" width="13.7109375" style="3" customWidth="1"/>
    <col min="5" max="5" width="15.421875" style="3" customWidth="1"/>
    <col min="6" max="6" width="22.421875" style="3" customWidth="1"/>
    <col min="7" max="7" width="13.7109375" style="3" customWidth="1"/>
    <col min="8" max="8" width="57.28125" style="2" customWidth="1"/>
  </cols>
  <sheetData>
    <row r="1" spans="1:8" ht="27.75" customHeight="1">
      <c r="A1" s="107" t="s">
        <v>40</v>
      </c>
      <c r="B1" s="107"/>
      <c r="C1" s="107"/>
      <c r="D1" s="107"/>
      <c r="E1" s="107"/>
      <c r="F1" s="107"/>
      <c r="G1" s="107"/>
      <c r="H1" s="107"/>
    </row>
    <row r="2" spans="1:8" ht="16.5" customHeight="1">
      <c r="A2" s="108" t="s">
        <v>0</v>
      </c>
      <c r="B2" s="109" t="s">
        <v>1</v>
      </c>
      <c r="C2" s="111" t="s">
        <v>35</v>
      </c>
      <c r="D2" s="112"/>
      <c r="E2" s="109" t="s">
        <v>2</v>
      </c>
      <c r="F2" s="109" t="s">
        <v>424</v>
      </c>
      <c r="G2" s="109" t="s">
        <v>4</v>
      </c>
      <c r="H2" s="113" t="s">
        <v>41</v>
      </c>
    </row>
    <row r="3" spans="1:8" s="1" customFormat="1" ht="32.25" customHeight="1">
      <c r="A3" s="108"/>
      <c r="B3" s="110"/>
      <c r="C3" s="32" t="s">
        <v>37</v>
      </c>
      <c r="D3" s="32" t="s">
        <v>36</v>
      </c>
      <c r="E3" s="110"/>
      <c r="F3" s="110"/>
      <c r="G3" s="110"/>
      <c r="H3" s="114"/>
    </row>
    <row r="4" spans="1:8" s="1" customFormat="1" ht="15.75" customHeight="1">
      <c r="A4" s="12" t="s">
        <v>15</v>
      </c>
      <c r="B4" s="13"/>
      <c r="C4" s="13"/>
      <c r="D4" s="13"/>
      <c r="E4" s="13"/>
      <c r="F4" s="13"/>
      <c r="G4" s="13"/>
      <c r="H4" s="12"/>
    </row>
    <row r="5" spans="1:8" ht="15">
      <c r="A5" s="5" t="s">
        <v>5</v>
      </c>
      <c r="B5" s="30">
        <f>SUM(B6:B45)</f>
        <v>73517.19433</v>
      </c>
      <c r="C5" s="30"/>
      <c r="D5" s="30">
        <f>SUM(D6:D45)</f>
        <v>99782.22743</v>
      </c>
      <c r="E5" s="30">
        <f>SUM(E6:E45)</f>
        <v>12626.660610000003</v>
      </c>
      <c r="F5" s="30"/>
      <c r="G5" s="31">
        <f aca="true" t="shared" si="0" ref="G5:G10">D5/B5</f>
        <v>1.3572638120832379</v>
      </c>
      <c r="H5" s="5"/>
    </row>
    <row r="6" spans="1:8" s="4" customFormat="1" ht="60.75" customHeight="1">
      <c r="A6" s="26" t="s">
        <v>38</v>
      </c>
      <c r="B6" s="28">
        <v>4780</v>
      </c>
      <c r="C6" s="28" t="s">
        <v>39</v>
      </c>
      <c r="D6" s="28">
        <v>1974.1665</v>
      </c>
      <c r="E6" s="28">
        <f>B6-D6</f>
        <v>2805.8334999999997</v>
      </c>
      <c r="F6" s="89" t="s">
        <v>425</v>
      </c>
      <c r="G6" s="29">
        <f t="shared" si="0"/>
        <v>0.4130055439330544</v>
      </c>
      <c r="H6" s="26" t="s">
        <v>34</v>
      </c>
    </row>
    <row r="7" spans="1:8" s="4" customFormat="1" ht="45">
      <c r="A7" s="26" t="s">
        <v>23</v>
      </c>
      <c r="B7" s="28">
        <v>5627.953</v>
      </c>
      <c r="C7" s="28" t="s">
        <v>45</v>
      </c>
      <c r="D7" s="28">
        <f>1975.2739+54.86131</f>
        <v>2030.13521</v>
      </c>
      <c r="E7" s="28">
        <f>B7-D7</f>
        <v>3597.8177900000005</v>
      </c>
      <c r="F7" s="28" t="s">
        <v>430</v>
      </c>
      <c r="G7" s="29">
        <f t="shared" si="0"/>
        <v>0.36072355437225573</v>
      </c>
      <c r="H7" s="33" t="s">
        <v>28</v>
      </c>
    </row>
    <row r="8" spans="1:8" s="4" customFormat="1" ht="45">
      <c r="A8" s="19" t="s">
        <v>6</v>
      </c>
      <c r="B8" s="28">
        <v>397.264</v>
      </c>
      <c r="C8" s="28" t="s">
        <v>42</v>
      </c>
      <c r="D8" s="28">
        <v>299.828</v>
      </c>
      <c r="E8" s="28">
        <f>B8-D8</f>
        <v>97.43600000000004</v>
      </c>
      <c r="F8" s="28" t="s">
        <v>433</v>
      </c>
      <c r="G8" s="29">
        <f t="shared" si="0"/>
        <v>0.754732369406742</v>
      </c>
      <c r="H8" s="27" t="s">
        <v>30</v>
      </c>
    </row>
    <row r="9" spans="1:8" ht="30">
      <c r="A9" s="26" t="s">
        <v>18</v>
      </c>
      <c r="B9" s="35">
        <v>5600</v>
      </c>
      <c r="C9" s="34" t="s">
        <v>87</v>
      </c>
      <c r="D9" s="35">
        <f>4776.87136+30.76595</f>
        <v>4807.63731</v>
      </c>
      <c r="E9" s="28">
        <f>B9-D9</f>
        <v>792.3626899999999</v>
      </c>
      <c r="F9" s="35" t="s">
        <v>432</v>
      </c>
      <c r="G9" s="29">
        <f t="shared" si="0"/>
        <v>0.8585066625</v>
      </c>
      <c r="H9" s="24" t="s">
        <v>31</v>
      </c>
    </row>
    <row r="10" spans="1:8" ht="30">
      <c r="A10" s="19" t="s">
        <v>46</v>
      </c>
      <c r="B10" s="35">
        <v>3303.494</v>
      </c>
      <c r="C10" s="35"/>
      <c r="D10" s="35">
        <v>3872.30189</v>
      </c>
      <c r="E10" s="28">
        <f>B10-D10</f>
        <v>-568.80789</v>
      </c>
      <c r="F10" s="28"/>
      <c r="G10" s="29">
        <f t="shared" si="0"/>
        <v>1.1721837212357582</v>
      </c>
      <c r="H10" s="100" t="s">
        <v>29</v>
      </c>
    </row>
    <row r="11" spans="1:8" ht="30">
      <c r="A11" s="37" t="s">
        <v>47</v>
      </c>
      <c r="B11" s="35"/>
      <c r="C11" s="35" t="s">
        <v>50</v>
      </c>
      <c r="D11" s="35">
        <v>553.23326</v>
      </c>
      <c r="E11" s="28"/>
      <c r="F11" s="28" t="s">
        <v>429</v>
      </c>
      <c r="G11" s="29"/>
      <c r="H11" s="101"/>
    </row>
    <row r="12" spans="1:8" ht="195">
      <c r="A12" s="37" t="s">
        <v>48</v>
      </c>
      <c r="B12" s="35"/>
      <c r="C12" s="35" t="s">
        <v>49</v>
      </c>
      <c r="D12" s="35">
        <f>D10-D11</f>
        <v>3319.06863</v>
      </c>
      <c r="E12" s="28"/>
      <c r="F12" s="28" t="s">
        <v>443</v>
      </c>
      <c r="G12" s="29"/>
      <c r="H12" s="102"/>
    </row>
    <row r="13" spans="1:8" ht="30">
      <c r="A13" s="19" t="s">
        <v>19</v>
      </c>
      <c r="B13" s="35">
        <v>3746.624</v>
      </c>
      <c r="C13" s="35"/>
      <c r="D13" s="35">
        <v>3697.658</v>
      </c>
      <c r="E13" s="35">
        <f>B13-D13</f>
        <v>48.965999999999894</v>
      </c>
      <c r="F13" s="35"/>
      <c r="G13" s="29">
        <f>D13/B13</f>
        <v>0.9869306340855127</v>
      </c>
      <c r="H13" s="103" t="s">
        <v>24</v>
      </c>
    </row>
    <row r="14" spans="1:8" ht="30">
      <c r="A14" s="37" t="s">
        <v>51</v>
      </c>
      <c r="B14" s="25"/>
      <c r="C14" s="34" t="s">
        <v>42</v>
      </c>
      <c r="D14" s="34">
        <v>1487.59946</v>
      </c>
      <c r="E14" s="25"/>
      <c r="F14" s="35" t="s">
        <v>426</v>
      </c>
      <c r="G14" s="7"/>
      <c r="H14" s="104"/>
    </row>
    <row r="15" spans="1:8" ht="15" customHeight="1">
      <c r="A15" s="37" t="s">
        <v>52</v>
      </c>
      <c r="B15" s="25"/>
      <c r="C15" s="35" t="s">
        <v>53</v>
      </c>
      <c r="D15" s="35">
        <f>D13-D14</f>
        <v>2210.05854</v>
      </c>
      <c r="E15" s="25"/>
      <c r="F15" s="35" t="s">
        <v>426</v>
      </c>
      <c r="G15" s="7"/>
      <c r="H15" s="105"/>
    </row>
    <row r="16" spans="1:8" ht="30">
      <c r="A16" s="19" t="s">
        <v>57</v>
      </c>
      <c r="B16" s="35">
        <v>4158.09835</v>
      </c>
      <c r="C16" s="35"/>
      <c r="D16" s="35">
        <v>3267.70578</v>
      </c>
      <c r="E16" s="35">
        <f>B16-D16</f>
        <v>890.3925700000004</v>
      </c>
      <c r="F16" s="35"/>
      <c r="G16" s="29">
        <f>D16/B16</f>
        <v>0.7858654377427122</v>
      </c>
      <c r="H16" s="100" t="s">
        <v>21</v>
      </c>
    </row>
    <row r="17" spans="1:8" ht="45">
      <c r="A17" s="38" t="s">
        <v>55</v>
      </c>
      <c r="B17" s="25"/>
      <c r="C17" s="35" t="s">
        <v>58</v>
      </c>
      <c r="D17" s="35">
        <f>D16-D18</f>
        <v>3000.4203799999996</v>
      </c>
      <c r="E17" s="25"/>
      <c r="F17" s="34" t="s">
        <v>427</v>
      </c>
      <c r="G17" s="7"/>
      <c r="H17" s="101"/>
    </row>
    <row r="18" spans="1:8" ht="45">
      <c r="A18" s="38" t="s">
        <v>54</v>
      </c>
      <c r="B18" s="25"/>
      <c r="C18" s="35" t="s">
        <v>56</v>
      </c>
      <c r="D18" s="35">
        <v>267.2854</v>
      </c>
      <c r="E18" s="25"/>
      <c r="F18" s="34" t="s">
        <v>427</v>
      </c>
      <c r="G18" s="7"/>
      <c r="H18" s="102"/>
    </row>
    <row r="19" spans="1:8" ht="15">
      <c r="A19" s="19" t="s">
        <v>7</v>
      </c>
      <c r="B19" s="25">
        <v>7136.856</v>
      </c>
      <c r="C19" s="25"/>
      <c r="D19" s="25">
        <v>6532.60536</v>
      </c>
      <c r="E19" s="25">
        <f>B19-D19</f>
        <v>604.2506400000002</v>
      </c>
      <c r="F19" s="88"/>
      <c r="G19" s="39">
        <f>D19/B19</f>
        <v>0.9153337772262744</v>
      </c>
      <c r="H19" s="106" t="s">
        <v>32</v>
      </c>
    </row>
    <row r="20" spans="1:8" ht="15">
      <c r="A20" s="95" t="s">
        <v>59</v>
      </c>
      <c r="B20" s="96"/>
      <c r="C20" s="97" t="s">
        <v>70</v>
      </c>
      <c r="D20" s="25"/>
      <c r="E20" s="25"/>
      <c r="F20" s="34" t="s">
        <v>428</v>
      </c>
      <c r="G20" s="7"/>
      <c r="H20" s="106"/>
    </row>
    <row r="21" spans="1:8" ht="15">
      <c r="A21" s="95" t="s">
        <v>60</v>
      </c>
      <c r="B21" s="96"/>
      <c r="C21" s="97" t="s">
        <v>71</v>
      </c>
      <c r="D21" s="25"/>
      <c r="E21" s="25"/>
      <c r="F21" s="34" t="s">
        <v>428</v>
      </c>
      <c r="G21" s="7"/>
      <c r="H21" s="106"/>
    </row>
    <row r="22" spans="1:8" ht="15">
      <c r="A22" s="95" t="s">
        <v>61</v>
      </c>
      <c r="B22" s="96"/>
      <c r="C22" s="97" t="s">
        <v>44</v>
      </c>
      <c r="D22" s="25"/>
      <c r="E22" s="25"/>
      <c r="F22" s="34" t="s">
        <v>428</v>
      </c>
      <c r="G22" s="7"/>
      <c r="H22" s="106"/>
    </row>
    <row r="23" spans="1:8" ht="15">
      <c r="A23" s="95" t="s">
        <v>62</v>
      </c>
      <c r="B23" s="96"/>
      <c r="C23" s="97" t="s">
        <v>72</v>
      </c>
      <c r="D23" s="25"/>
      <c r="E23" s="25"/>
      <c r="F23" s="34" t="s">
        <v>428</v>
      </c>
      <c r="G23" s="7"/>
      <c r="H23" s="106"/>
    </row>
    <row r="24" spans="1:8" ht="15">
      <c r="A24" s="95" t="s">
        <v>63</v>
      </c>
      <c r="B24" s="96"/>
      <c r="C24" s="97" t="s">
        <v>73</v>
      </c>
      <c r="D24" s="25"/>
      <c r="E24" s="25"/>
      <c r="F24" s="34" t="s">
        <v>428</v>
      </c>
      <c r="G24" s="7"/>
      <c r="H24" s="106"/>
    </row>
    <row r="25" spans="1:8" ht="15">
      <c r="A25" s="95" t="s">
        <v>64</v>
      </c>
      <c r="B25" s="96"/>
      <c r="C25" s="97" t="s">
        <v>74</v>
      </c>
      <c r="D25" s="25"/>
      <c r="E25" s="25"/>
      <c r="F25" s="34" t="s">
        <v>428</v>
      </c>
      <c r="G25" s="7"/>
      <c r="H25" s="106"/>
    </row>
    <row r="26" spans="1:8" ht="15">
      <c r="A26" s="95" t="s">
        <v>65</v>
      </c>
      <c r="B26" s="96"/>
      <c r="C26" s="97" t="s">
        <v>75</v>
      </c>
      <c r="D26" s="25"/>
      <c r="E26" s="25"/>
      <c r="F26" s="34" t="s">
        <v>428</v>
      </c>
      <c r="G26" s="7"/>
      <c r="H26" s="106"/>
    </row>
    <row r="27" spans="1:8" ht="30">
      <c r="A27" s="95" t="s">
        <v>66</v>
      </c>
      <c r="B27" s="96"/>
      <c r="C27" s="97" t="s">
        <v>76</v>
      </c>
      <c r="D27" s="25"/>
      <c r="E27" s="25"/>
      <c r="F27" s="34" t="s">
        <v>428</v>
      </c>
      <c r="G27" s="7"/>
      <c r="H27" s="106"/>
    </row>
    <row r="28" spans="1:8" ht="15">
      <c r="A28" s="95" t="s">
        <v>67</v>
      </c>
      <c r="B28" s="96"/>
      <c r="C28" s="97" t="s">
        <v>77</v>
      </c>
      <c r="D28" s="25"/>
      <c r="E28" s="25"/>
      <c r="F28" s="34" t="s">
        <v>428</v>
      </c>
      <c r="G28" s="7"/>
      <c r="H28" s="106"/>
    </row>
    <row r="29" spans="1:8" ht="15">
      <c r="A29" s="95" t="s">
        <v>68</v>
      </c>
      <c r="B29" s="96"/>
      <c r="C29" s="97" t="s">
        <v>78</v>
      </c>
      <c r="D29" s="25"/>
      <c r="E29" s="25"/>
      <c r="F29" s="34" t="s">
        <v>428</v>
      </c>
      <c r="G29" s="7"/>
      <c r="H29" s="106"/>
    </row>
    <row r="30" spans="1:8" ht="15">
      <c r="A30" s="95" t="s">
        <v>69</v>
      </c>
      <c r="B30" s="96"/>
      <c r="C30" s="97" t="s">
        <v>79</v>
      </c>
      <c r="D30" s="25"/>
      <c r="E30" s="25"/>
      <c r="F30" s="34" t="s">
        <v>428</v>
      </c>
      <c r="G30" s="7"/>
      <c r="H30" s="106"/>
    </row>
    <row r="31" spans="1:8" ht="15">
      <c r="A31" s="95" t="s">
        <v>83</v>
      </c>
      <c r="B31" s="96"/>
      <c r="C31" s="97" t="s">
        <v>80</v>
      </c>
      <c r="D31" s="25"/>
      <c r="E31" s="25"/>
      <c r="F31" s="34" t="s">
        <v>428</v>
      </c>
      <c r="G31" s="7"/>
      <c r="H31" s="106"/>
    </row>
    <row r="32" spans="1:8" ht="15.75" customHeight="1">
      <c r="A32" s="95" t="s">
        <v>84</v>
      </c>
      <c r="B32" s="96"/>
      <c r="C32" s="97" t="s">
        <v>81</v>
      </c>
      <c r="D32" s="25"/>
      <c r="E32" s="25"/>
      <c r="F32" s="34" t="s">
        <v>428</v>
      </c>
      <c r="G32" s="7"/>
      <c r="H32" s="106"/>
    </row>
    <row r="33" spans="1:8" ht="15">
      <c r="A33" s="98" t="s">
        <v>85</v>
      </c>
      <c r="B33" s="96"/>
      <c r="C33" s="97" t="s">
        <v>82</v>
      </c>
      <c r="D33" s="25"/>
      <c r="E33" s="25"/>
      <c r="F33" s="34" t="s">
        <v>428</v>
      </c>
      <c r="G33" s="7"/>
      <c r="H33" s="106"/>
    </row>
    <row r="34" spans="1:8" ht="60">
      <c r="A34" s="92" t="s">
        <v>8</v>
      </c>
      <c r="B34" s="93">
        <v>7136</v>
      </c>
      <c r="C34" s="93" t="s">
        <v>86</v>
      </c>
      <c r="D34" s="93">
        <f>6134.78057</f>
        <v>6134.78057</v>
      </c>
      <c r="E34" s="93">
        <f>B34-D34</f>
        <v>1001.2194300000001</v>
      </c>
      <c r="F34" s="90" t="s">
        <v>428</v>
      </c>
      <c r="G34" s="94">
        <f>D34/B34</f>
        <v>0.859694586603139</v>
      </c>
      <c r="H34" s="40" t="s">
        <v>33</v>
      </c>
    </row>
    <row r="35" spans="1:8" ht="15" customHeight="1">
      <c r="A35" s="27" t="s">
        <v>20</v>
      </c>
      <c r="B35" s="34">
        <v>5878.73365</v>
      </c>
      <c r="C35" s="34"/>
      <c r="D35" s="34">
        <v>5428.13545</v>
      </c>
      <c r="E35" s="34">
        <f>B35-D35</f>
        <v>450.59820000000036</v>
      </c>
      <c r="F35" s="34"/>
      <c r="G35" s="36">
        <f>D35/B35</f>
        <v>0.9233511455311467</v>
      </c>
      <c r="H35" s="100" t="s">
        <v>32</v>
      </c>
    </row>
    <row r="36" spans="1:8" ht="15" customHeight="1">
      <c r="A36" s="37" t="s">
        <v>90</v>
      </c>
      <c r="B36" s="34"/>
      <c r="C36" s="34" t="s">
        <v>43</v>
      </c>
      <c r="D36" s="34">
        <f>D35-D37-D38-D39</f>
        <v>3455.03145</v>
      </c>
      <c r="E36" s="34"/>
      <c r="F36" s="28" t="s">
        <v>429</v>
      </c>
      <c r="G36" s="36"/>
      <c r="H36" s="101"/>
    </row>
    <row r="37" spans="1:8" ht="15" customHeight="1">
      <c r="A37" s="37" t="s">
        <v>89</v>
      </c>
      <c r="B37" s="34"/>
      <c r="C37" s="34" t="s">
        <v>42</v>
      </c>
      <c r="D37" s="34">
        <v>653.233</v>
      </c>
      <c r="E37" s="34"/>
      <c r="F37" s="28" t="s">
        <v>429</v>
      </c>
      <c r="G37" s="36"/>
      <c r="H37" s="101"/>
    </row>
    <row r="38" spans="1:8" ht="31.5" customHeight="1">
      <c r="A38" s="37" t="s">
        <v>88</v>
      </c>
      <c r="B38" s="34"/>
      <c r="C38" s="34" t="s">
        <v>42</v>
      </c>
      <c r="D38" s="34">
        <v>1215.36</v>
      </c>
      <c r="E38" s="34"/>
      <c r="F38" s="34" t="s">
        <v>431</v>
      </c>
      <c r="G38" s="36"/>
      <c r="H38" s="101"/>
    </row>
    <row r="39" spans="1:8" ht="15" customHeight="1">
      <c r="A39" s="37" t="s">
        <v>91</v>
      </c>
      <c r="B39" s="34"/>
      <c r="C39" s="34" t="s">
        <v>92</v>
      </c>
      <c r="D39" s="34">
        <v>104.511</v>
      </c>
      <c r="E39" s="34"/>
      <c r="F39" s="28" t="s">
        <v>429</v>
      </c>
      <c r="G39" s="36"/>
      <c r="H39" s="102"/>
    </row>
    <row r="40" spans="1:8" ht="60">
      <c r="A40" s="19" t="s">
        <v>9</v>
      </c>
      <c r="B40" s="35">
        <v>25268.2</v>
      </c>
      <c r="C40" s="35"/>
      <c r="D40" s="35">
        <v>22625.89259</v>
      </c>
      <c r="E40" s="35">
        <f>B40-D40</f>
        <v>2642.3074100000013</v>
      </c>
      <c r="F40" s="35"/>
      <c r="G40" s="29">
        <f>D40/B40</f>
        <v>0.8954295355426979</v>
      </c>
      <c r="H40" s="100" t="s">
        <v>27</v>
      </c>
    </row>
    <row r="41" spans="1:8" ht="15">
      <c r="A41" s="37" t="s">
        <v>93</v>
      </c>
      <c r="B41" s="35"/>
      <c r="C41" s="35" t="s">
        <v>95</v>
      </c>
      <c r="D41" s="35">
        <v>9104.19999</v>
      </c>
      <c r="E41" s="35"/>
      <c r="F41" s="35" t="s">
        <v>432</v>
      </c>
      <c r="G41" s="29"/>
      <c r="H41" s="101"/>
    </row>
    <row r="42" spans="1:8" ht="30">
      <c r="A42" s="37" t="s">
        <v>94</v>
      </c>
      <c r="B42" s="35"/>
      <c r="C42" s="35" t="s">
        <v>96</v>
      </c>
      <c r="D42" s="35">
        <v>12610.78932</v>
      </c>
      <c r="E42" s="35"/>
      <c r="F42" s="35" t="s">
        <v>434</v>
      </c>
      <c r="G42" s="29"/>
      <c r="H42" s="101"/>
    </row>
    <row r="43" spans="1:8" ht="30">
      <c r="A43" s="37" t="s">
        <v>97</v>
      </c>
      <c r="B43" s="35"/>
      <c r="C43" s="35" t="s">
        <v>71</v>
      </c>
      <c r="D43" s="35">
        <v>901.55666</v>
      </c>
      <c r="E43" s="35"/>
      <c r="F43" s="35" t="s">
        <v>434</v>
      </c>
      <c r="G43" s="29"/>
      <c r="H43" s="101"/>
    </row>
    <row r="44" spans="1:8" ht="30">
      <c r="A44" s="37" t="s">
        <v>98</v>
      </c>
      <c r="B44" s="35"/>
      <c r="C44" s="35" t="s">
        <v>43</v>
      </c>
      <c r="D44" s="35">
        <f>D40-D41-D42-D43</f>
        <v>9.346620000000485</v>
      </c>
      <c r="E44" s="35"/>
      <c r="F44" s="35" t="s">
        <v>434</v>
      </c>
      <c r="G44" s="29"/>
      <c r="H44" s="102"/>
    </row>
    <row r="45" spans="1:8" ht="216" customHeight="1">
      <c r="A45" s="26" t="s">
        <v>3</v>
      </c>
      <c r="B45" s="35">
        <v>483.97133</v>
      </c>
      <c r="C45" s="35"/>
      <c r="D45" s="35">
        <v>219.68706</v>
      </c>
      <c r="E45" s="35">
        <f>B45-D45</f>
        <v>264.28427</v>
      </c>
      <c r="F45" s="35" t="s">
        <v>458</v>
      </c>
      <c r="G45" s="29">
        <f>D45/B45</f>
        <v>0.4539257728345189</v>
      </c>
      <c r="H45" s="40" t="s">
        <v>99</v>
      </c>
    </row>
    <row r="46" spans="1:8" ht="75">
      <c r="A46" s="19" t="s">
        <v>10</v>
      </c>
      <c r="B46" s="28">
        <v>581.394</v>
      </c>
      <c r="C46" s="28" t="s">
        <v>100</v>
      </c>
      <c r="D46" s="28">
        <v>579.64654</v>
      </c>
      <c r="E46" s="28">
        <f>B46-D46</f>
        <v>1.7474600000000464</v>
      </c>
      <c r="F46" s="28" t="s">
        <v>435</v>
      </c>
      <c r="G46" s="29">
        <f>D46/B46</f>
        <v>0.9969943618269194</v>
      </c>
      <c r="H46" s="18"/>
    </row>
    <row r="47" spans="1:8" ht="30" customHeight="1">
      <c r="A47" s="26" t="s">
        <v>13</v>
      </c>
      <c r="B47" s="28">
        <v>52176.086</v>
      </c>
      <c r="C47" s="28" t="s">
        <v>268</v>
      </c>
      <c r="D47" s="28">
        <v>42423.73872</v>
      </c>
      <c r="E47" s="28">
        <f>B47-D47</f>
        <v>9752.347280000002</v>
      </c>
      <c r="F47" s="28"/>
      <c r="G47" s="29">
        <f>D47/B47</f>
        <v>0.8130877950484825</v>
      </c>
      <c r="H47" s="18"/>
    </row>
    <row r="48" spans="1:8" ht="15">
      <c r="A48" s="41" t="s">
        <v>101</v>
      </c>
      <c r="B48" s="42"/>
      <c r="C48" s="42" t="s">
        <v>267</v>
      </c>
      <c r="D48" s="42">
        <v>36423.915</v>
      </c>
      <c r="E48" s="28"/>
      <c r="F48" s="28"/>
      <c r="G48" s="29"/>
      <c r="H48" s="18"/>
    </row>
    <row r="49" spans="1:8" ht="45">
      <c r="A49" s="50" t="s">
        <v>103</v>
      </c>
      <c r="B49" s="28"/>
      <c r="C49" s="46" t="s">
        <v>164</v>
      </c>
      <c r="D49" s="51">
        <f>107.9772+1.683</f>
        <v>109.6602</v>
      </c>
      <c r="E49" s="28"/>
      <c r="F49" s="28" t="s">
        <v>436</v>
      </c>
      <c r="G49" s="29"/>
      <c r="H49" s="18"/>
    </row>
    <row r="50" spans="1:8" ht="30">
      <c r="A50" s="50" t="s">
        <v>104</v>
      </c>
      <c r="B50" s="28"/>
      <c r="C50" s="46" t="s">
        <v>165</v>
      </c>
      <c r="D50" s="51">
        <f>192.47676+3.43414</f>
        <v>195.91090000000003</v>
      </c>
      <c r="E50" s="28"/>
      <c r="F50" s="28" t="s">
        <v>437</v>
      </c>
      <c r="G50" s="29"/>
      <c r="H50" s="18"/>
    </row>
    <row r="51" spans="1:8" ht="30">
      <c r="A51" s="50" t="s">
        <v>105</v>
      </c>
      <c r="B51" s="28"/>
      <c r="C51" s="46" t="s">
        <v>166</v>
      </c>
      <c r="D51" s="51">
        <f>238.72374+3.70556</f>
        <v>242.42929999999998</v>
      </c>
      <c r="E51" s="28"/>
      <c r="F51" s="28" t="s">
        <v>437</v>
      </c>
      <c r="G51" s="29"/>
      <c r="H51" s="18"/>
    </row>
    <row r="52" spans="1:8" ht="30">
      <c r="A52" s="50" t="s">
        <v>106</v>
      </c>
      <c r="B52" s="28"/>
      <c r="C52" s="46" t="s">
        <v>167</v>
      </c>
      <c r="D52" s="51">
        <f>259.77974+4.03571</f>
        <v>263.81545</v>
      </c>
      <c r="E52" s="28"/>
      <c r="F52" s="28" t="s">
        <v>437</v>
      </c>
      <c r="G52" s="29"/>
      <c r="H52" s="18"/>
    </row>
    <row r="53" spans="1:8" ht="15">
      <c r="A53" s="50" t="s">
        <v>107</v>
      </c>
      <c r="B53" s="28"/>
      <c r="C53" s="46" t="s">
        <v>168</v>
      </c>
      <c r="D53" s="51">
        <f>689.7888+10.751+1142.0232+17.791+718.4364+11.195+690.3264+10.759</f>
        <v>3291.0708</v>
      </c>
      <c r="E53" s="28"/>
      <c r="F53" s="28" t="s">
        <v>436</v>
      </c>
      <c r="G53" s="29"/>
      <c r="H53" s="18"/>
    </row>
    <row r="54" spans="1:8" ht="15">
      <c r="A54" s="50" t="s">
        <v>108</v>
      </c>
      <c r="B54" s="28"/>
      <c r="C54" s="46" t="s">
        <v>169</v>
      </c>
      <c r="D54" s="51">
        <f>1064.6988+16.589+726.7968+11.324+944.5092+14.716+394.6836+6.151+92.3232+1.439</f>
        <v>3273.230599999999</v>
      </c>
      <c r="E54" s="28"/>
      <c r="F54" s="28" t="s">
        <v>436</v>
      </c>
      <c r="G54" s="29"/>
      <c r="H54" s="18"/>
    </row>
    <row r="55" spans="1:8" ht="30">
      <c r="A55" s="50" t="s">
        <v>109</v>
      </c>
      <c r="B55" s="28"/>
      <c r="C55" s="46" t="s">
        <v>170</v>
      </c>
      <c r="D55" s="51">
        <f>2653.0872+41.36+551.412+8.582</f>
        <v>3254.4411999999998</v>
      </c>
      <c r="E55" s="28"/>
      <c r="F55" s="28" t="s">
        <v>436</v>
      </c>
      <c r="G55" s="29"/>
      <c r="H55" s="18"/>
    </row>
    <row r="56" spans="1:8" ht="30">
      <c r="A56" s="50" t="s">
        <v>110</v>
      </c>
      <c r="B56" s="28"/>
      <c r="C56" s="46" t="s">
        <v>170</v>
      </c>
      <c r="D56" s="51">
        <f>3297.83668+51.2802</f>
        <v>3349.11688</v>
      </c>
      <c r="E56" s="28"/>
      <c r="F56" s="28" t="s">
        <v>437</v>
      </c>
      <c r="G56" s="29"/>
      <c r="H56" s="18"/>
    </row>
    <row r="57" spans="1:8" ht="30">
      <c r="A57" s="50" t="s">
        <v>111</v>
      </c>
      <c r="B57" s="28"/>
      <c r="C57" s="45" t="s">
        <v>171</v>
      </c>
      <c r="D57" s="51">
        <f>225.93774+3.50551</f>
        <v>229.44324999999998</v>
      </c>
      <c r="E57" s="28"/>
      <c r="F57" s="28" t="s">
        <v>437</v>
      </c>
      <c r="G57" s="29"/>
      <c r="H57" s="18"/>
    </row>
    <row r="58" spans="1:8" ht="30">
      <c r="A58" s="50" t="s">
        <v>112</v>
      </c>
      <c r="B58" s="28"/>
      <c r="C58" s="46" t="s">
        <v>172</v>
      </c>
      <c r="D58" s="51">
        <f>648.91436+10.08322</f>
        <v>658.99758</v>
      </c>
      <c r="E58" s="28"/>
      <c r="F58" s="28" t="s">
        <v>437</v>
      </c>
      <c r="G58" s="29"/>
      <c r="H58" s="18"/>
    </row>
    <row r="59" spans="1:8" ht="30">
      <c r="A59" s="50" t="s">
        <v>113</v>
      </c>
      <c r="B59" s="28"/>
      <c r="C59" s="46" t="s">
        <v>173</v>
      </c>
      <c r="D59" s="51">
        <f>315.9072+4.919</f>
        <v>320.8262</v>
      </c>
      <c r="E59" s="28"/>
      <c r="F59" s="28" t="s">
        <v>436</v>
      </c>
      <c r="G59" s="29"/>
      <c r="H59" s="18"/>
    </row>
    <row r="60" spans="1:8" ht="30">
      <c r="A60" s="50" t="s">
        <v>114</v>
      </c>
      <c r="B60" s="28"/>
      <c r="C60" s="46" t="s">
        <v>174</v>
      </c>
      <c r="D60" s="51">
        <f>426.9036+6.638</f>
        <v>433.54159999999996</v>
      </c>
      <c r="E60" s="28"/>
      <c r="F60" s="28" t="s">
        <v>436</v>
      </c>
      <c r="G60" s="29"/>
      <c r="H60" s="18"/>
    </row>
    <row r="61" spans="1:8" ht="30">
      <c r="A61" s="50" t="s">
        <v>115</v>
      </c>
      <c r="B61" s="28"/>
      <c r="C61" s="46" t="s">
        <v>175</v>
      </c>
      <c r="D61" s="51">
        <f>45.4212+0.705</f>
        <v>46.1262</v>
      </c>
      <c r="E61" s="28"/>
      <c r="F61" s="28" t="s">
        <v>436</v>
      </c>
      <c r="G61" s="29"/>
      <c r="H61" s="18"/>
    </row>
    <row r="62" spans="1:8" ht="30">
      <c r="A62" s="50" t="s">
        <v>116</v>
      </c>
      <c r="B62" s="28"/>
      <c r="C62" s="46" t="s">
        <v>176</v>
      </c>
      <c r="D62" s="51">
        <f>172.55357+3.06947</f>
        <v>175.62304</v>
      </c>
      <c r="E62" s="28"/>
      <c r="F62" s="28" t="s">
        <v>437</v>
      </c>
      <c r="G62" s="29"/>
      <c r="H62" s="18"/>
    </row>
    <row r="63" spans="1:8" ht="30">
      <c r="A63" s="50" t="s">
        <v>117</v>
      </c>
      <c r="B63" s="28"/>
      <c r="C63" s="46" t="s">
        <v>177</v>
      </c>
      <c r="D63" s="51">
        <f>169.31712+3.00566</f>
        <v>172.32278</v>
      </c>
      <c r="E63" s="28"/>
      <c r="F63" s="28" t="s">
        <v>437</v>
      </c>
      <c r="G63" s="29"/>
      <c r="H63" s="18"/>
    </row>
    <row r="64" spans="1:8" ht="30">
      <c r="A64" s="50" t="s">
        <v>118</v>
      </c>
      <c r="B64" s="28"/>
      <c r="C64" s="46" t="s">
        <v>178</v>
      </c>
      <c r="D64" s="51">
        <f>163.9764+2.928</f>
        <v>166.9044</v>
      </c>
      <c r="E64" s="28"/>
      <c r="F64" s="28" t="s">
        <v>436</v>
      </c>
      <c r="G64" s="29"/>
      <c r="H64" s="18"/>
    </row>
    <row r="65" spans="1:8" ht="15">
      <c r="A65" s="50" t="s">
        <v>119</v>
      </c>
      <c r="B65" s="28"/>
      <c r="C65" s="46" t="s">
        <v>179</v>
      </c>
      <c r="D65" s="51">
        <f>140.3628+2.184</f>
        <v>142.5468</v>
      </c>
      <c r="E65" s="28"/>
      <c r="F65" s="28" t="s">
        <v>436</v>
      </c>
      <c r="G65" s="29"/>
      <c r="H65" s="18"/>
    </row>
    <row r="66" spans="1:8" ht="30">
      <c r="A66" s="50" t="s">
        <v>120</v>
      </c>
      <c r="B66" s="28"/>
      <c r="C66" s="46" t="s">
        <v>180</v>
      </c>
      <c r="D66" s="51">
        <f>185.19246+2.88167</f>
        <v>188.07413000000003</v>
      </c>
      <c r="E66" s="28"/>
      <c r="F66" s="28" t="s">
        <v>437</v>
      </c>
      <c r="G66" s="29"/>
      <c r="H66" s="18"/>
    </row>
    <row r="67" spans="1:8" ht="15">
      <c r="A67" s="50" t="s">
        <v>121</v>
      </c>
      <c r="B67" s="28"/>
      <c r="C67" s="46" t="s">
        <v>181</v>
      </c>
      <c r="D67" s="51">
        <f>103.8192+1.616</f>
        <v>105.4352</v>
      </c>
      <c r="E67" s="28"/>
      <c r="F67" s="28" t="s">
        <v>436</v>
      </c>
      <c r="G67" s="29"/>
      <c r="H67" s="18"/>
    </row>
    <row r="68" spans="1:8" ht="15">
      <c r="A68" s="50" t="s">
        <v>122</v>
      </c>
      <c r="B68" s="28"/>
      <c r="C68" s="46" t="s">
        <v>182</v>
      </c>
      <c r="D68" s="51">
        <f>81.5904+1.267</f>
        <v>82.8574</v>
      </c>
      <c r="E68" s="28"/>
      <c r="F68" s="28" t="s">
        <v>436</v>
      </c>
      <c r="G68" s="29"/>
      <c r="H68" s="18"/>
    </row>
    <row r="69" spans="1:8" ht="30">
      <c r="A69" s="50" t="s">
        <v>123</v>
      </c>
      <c r="B69" s="28"/>
      <c r="C69" s="46" t="s">
        <v>183</v>
      </c>
      <c r="D69" s="51">
        <f>223.91563+3.46926</f>
        <v>227.38488999999998</v>
      </c>
      <c r="E69" s="28"/>
      <c r="F69" s="28" t="s">
        <v>437</v>
      </c>
      <c r="G69" s="29"/>
      <c r="H69" s="18"/>
    </row>
    <row r="70" spans="1:8" ht="30">
      <c r="A70" s="50" t="s">
        <v>124</v>
      </c>
      <c r="B70" s="28"/>
      <c r="C70" s="46" t="s">
        <v>184</v>
      </c>
      <c r="D70" s="51">
        <f>139.8168+2.175</f>
        <v>141.9918</v>
      </c>
      <c r="E70" s="28"/>
      <c r="F70" s="28" t="s">
        <v>436</v>
      </c>
      <c r="G70" s="29"/>
      <c r="H70" s="18"/>
    </row>
    <row r="71" spans="1:8" ht="45">
      <c r="A71" s="50" t="s">
        <v>125</v>
      </c>
      <c r="B71" s="28"/>
      <c r="C71" s="46" t="s">
        <v>185</v>
      </c>
      <c r="D71" s="51">
        <f>658.43486+10.22584</f>
        <v>668.6606999999999</v>
      </c>
      <c r="E71" s="28"/>
      <c r="F71" s="28" t="s">
        <v>437</v>
      </c>
      <c r="G71" s="29"/>
      <c r="H71" s="18"/>
    </row>
    <row r="72" spans="1:8" ht="30">
      <c r="A72" s="50" t="s">
        <v>126</v>
      </c>
      <c r="B72" s="28"/>
      <c r="C72" s="46" t="s">
        <v>186</v>
      </c>
      <c r="D72" s="51">
        <f>117.3156+1.827</f>
        <v>119.1426</v>
      </c>
      <c r="E72" s="28"/>
      <c r="F72" s="28" t="s">
        <v>436</v>
      </c>
      <c r="G72" s="29"/>
      <c r="H72" s="18"/>
    </row>
    <row r="73" spans="1:8" ht="30">
      <c r="A73" s="50" t="s">
        <v>127</v>
      </c>
      <c r="B73" s="28"/>
      <c r="C73" s="46" t="s">
        <v>187</v>
      </c>
      <c r="D73" s="51">
        <f>95.59352+1.48747</f>
        <v>97.08099</v>
      </c>
      <c r="E73" s="28"/>
      <c r="F73" s="28" t="s">
        <v>437</v>
      </c>
      <c r="G73" s="29"/>
      <c r="H73" s="18"/>
    </row>
    <row r="74" spans="1:8" ht="30">
      <c r="A74" s="50" t="s">
        <v>128</v>
      </c>
      <c r="B74" s="28"/>
      <c r="C74" s="46" t="s">
        <v>188</v>
      </c>
      <c r="D74" s="51">
        <f>189.4284+3.383</f>
        <v>192.81140000000002</v>
      </c>
      <c r="E74" s="28"/>
      <c r="F74" s="28" t="s">
        <v>436</v>
      </c>
      <c r="G74" s="29"/>
      <c r="H74" s="18"/>
    </row>
    <row r="75" spans="1:8" ht="30">
      <c r="A75" s="50" t="s">
        <v>129</v>
      </c>
      <c r="B75" s="28"/>
      <c r="C75" s="46" t="s">
        <v>189</v>
      </c>
      <c r="D75" s="51">
        <f>717.21929+11.14197</f>
        <v>728.36126</v>
      </c>
      <c r="E75" s="28"/>
      <c r="F75" s="28" t="s">
        <v>437</v>
      </c>
      <c r="G75" s="29"/>
      <c r="H75" s="18"/>
    </row>
    <row r="76" spans="1:8" ht="30">
      <c r="A76" s="50" t="s">
        <v>130</v>
      </c>
      <c r="B76" s="28"/>
      <c r="C76" s="46" t="s">
        <v>190</v>
      </c>
      <c r="D76" s="51">
        <f>1255.625+19.55045</f>
        <v>1275.17545</v>
      </c>
      <c r="E76" s="28"/>
      <c r="F76" s="28" t="s">
        <v>436</v>
      </c>
      <c r="G76" s="29"/>
      <c r="H76" s="18"/>
    </row>
    <row r="77" spans="1:8" ht="30">
      <c r="A77" s="50" t="s">
        <v>131</v>
      </c>
      <c r="B77" s="28"/>
      <c r="C77" s="46" t="s">
        <v>191</v>
      </c>
      <c r="D77" s="51">
        <f>191.44267+2.97843</f>
        <v>194.4211</v>
      </c>
      <c r="E77" s="28"/>
      <c r="F77" s="28" t="s">
        <v>437</v>
      </c>
      <c r="G77" s="29"/>
      <c r="H77" s="18"/>
    </row>
    <row r="78" spans="1:8" ht="30">
      <c r="A78" s="50" t="s">
        <v>132</v>
      </c>
      <c r="B78" s="28"/>
      <c r="C78" s="46" t="s">
        <v>192</v>
      </c>
      <c r="D78" s="51">
        <f>93.20586+1.66226</f>
        <v>94.86812</v>
      </c>
      <c r="E78" s="28"/>
      <c r="F78" s="28" t="s">
        <v>437</v>
      </c>
      <c r="G78" s="29"/>
      <c r="H78" s="18"/>
    </row>
    <row r="79" spans="1:8" ht="30">
      <c r="A79" s="50" t="s">
        <v>133</v>
      </c>
      <c r="B79" s="28"/>
      <c r="C79" s="46" t="s">
        <v>193</v>
      </c>
      <c r="D79" s="51">
        <f>163.41235+2.54235</f>
        <v>165.9547</v>
      </c>
      <c r="E79" s="28"/>
      <c r="F79" s="28" t="s">
        <v>437</v>
      </c>
      <c r="G79" s="29"/>
      <c r="H79" s="18"/>
    </row>
    <row r="80" spans="1:8" ht="30">
      <c r="A80" s="50" t="s">
        <v>134</v>
      </c>
      <c r="B80" s="28"/>
      <c r="C80" s="46" t="s">
        <v>194</v>
      </c>
      <c r="D80" s="51">
        <f>872.73882+13.57609</f>
        <v>886.31491</v>
      </c>
      <c r="E80" s="28"/>
      <c r="F80" s="28" t="s">
        <v>437</v>
      </c>
      <c r="G80" s="29"/>
      <c r="H80" s="18"/>
    </row>
    <row r="81" spans="1:8" ht="15">
      <c r="A81" s="50" t="s">
        <v>135</v>
      </c>
      <c r="B81" s="28"/>
      <c r="C81" s="46" t="s">
        <v>195</v>
      </c>
      <c r="D81" s="51">
        <f>854.0208+13.3</f>
        <v>867.3208</v>
      </c>
      <c r="E81" s="28"/>
      <c r="F81" s="28" t="s">
        <v>436</v>
      </c>
      <c r="G81" s="29"/>
      <c r="H81" s="18"/>
    </row>
    <row r="82" spans="1:8" ht="15">
      <c r="A82" s="50" t="s">
        <v>136</v>
      </c>
      <c r="B82" s="28"/>
      <c r="C82" s="46" t="s">
        <v>196</v>
      </c>
      <c r="D82" s="51">
        <f>189.2448+2.951</f>
        <v>192.1958</v>
      </c>
      <c r="E82" s="28"/>
      <c r="F82" s="28" t="s">
        <v>436</v>
      </c>
      <c r="G82" s="29"/>
      <c r="H82" s="18"/>
    </row>
    <row r="83" spans="1:8" ht="15">
      <c r="A83" s="50" t="s">
        <v>137</v>
      </c>
      <c r="B83" s="28"/>
      <c r="C83" s="46" t="s">
        <v>197</v>
      </c>
      <c r="D83" s="51">
        <f>615.2868+9.581</f>
        <v>624.8678</v>
      </c>
      <c r="E83" s="28"/>
      <c r="F83" s="28" t="s">
        <v>436</v>
      </c>
      <c r="G83" s="29"/>
      <c r="H83" s="18"/>
    </row>
    <row r="84" spans="1:8" ht="30">
      <c r="A84" s="50" t="s">
        <v>138</v>
      </c>
      <c r="B84" s="28"/>
      <c r="C84" s="46" t="s">
        <v>198</v>
      </c>
      <c r="D84" s="51">
        <f>296.78422+4.61655</f>
        <v>301.40077</v>
      </c>
      <c r="E84" s="28"/>
      <c r="F84" s="28" t="s">
        <v>437</v>
      </c>
      <c r="G84" s="29"/>
      <c r="H84" s="18"/>
    </row>
    <row r="85" spans="1:8" ht="30">
      <c r="A85" s="50" t="s">
        <v>139</v>
      </c>
      <c r="B85" s="28"/>
      <c r="C85" s="46" t="s">
        <v>199</v>
      </c>
      <c r="D85" s="51">
        <f>371.12906+5.76648</f>
        <v>376.89554</v>
      </c>
      <c r="E85" s="28"/>
      <c r="F85" s="28" t="s">
        <v>437</v>
      </c>
      <c r="G85" s="29"/>
      <c r="H85" s="18"/>
    </row>
    <row r="86" spans="1:8" ht="30">
      <c r="A86" s="50" t="s">
        <v>140</v>
      </c>
      <c r="B86" s="28"/>
      <c r="C86" s="45" t="s">
        <v>200</v>
      </c>
      <c r="D86" s="51">
        <f>234.54202+3.64464</f>
        <v>238.18666000000002</v>
      </c>
      <c r="E86" s="28"/>
      <c r="F86" s="28" t="s">
        <v>437</v>
      </c>
      <c r="G86" s="29"/>
      <c r="H86" s="18"/>
    </row>
    <row r="87" spans="1:8" ht="30">
      <c r="A87" s="50" t="s">
        <v>141</v>
      </c>
      <c r="B87" s="28"/>
      <c r="C87" s="46" t="s">
        <v>201</v>
      </c>
      <c r="D87" s="51">
        <f>570.3612+8.881</f>
        <v>579.2422</v>
      </c>
      <c r="E87" s="28"/>
      <c r="F87" s="28" t="s">
        <v>436</v>
      </c>
      <c r="G87" s="29"/>
      <c r="H87" s="18"/>
    </row>
    <row r="88" spans="1:8" ht="30">
      <c r="A88" s="50" t="s">
        <v>142</v>
      </c>
      <c r="B88" s="28"/>
      <c r="C88" s="45" t="s">
        <v>202</v>
      </c>
      <c r="D88" s="51">
        <f>262.6375+5.2</f>
        <v>267.8375</v>
      </c>
      <c r="E88" s="28"/>
      <c r="F88" s="28" t="s">
        <v>437</v>
      </c>
      <c r="G88" s="29"/>
      <c r="H88" s="18"/>
    </row>
    <row r="89" spans="1:8" ht="30">
      <c r="A89" s="50" t="s">
        <v>143</v>
      </c>
      <c r="B89" s="28"/>
      <c r="C89" s="46" t="s">
        <v>203</v>
      </c>
      <c r="D89" s="51">
        <f>1007.92739+15.68597</f>
        <v>1023.61336</v>
      </c>
      <c r="E89" s="28"/>
      <c r="F89" s="28" t="s">
        <v>437</v>
      </c>
      <c r="G89" s="29"/>
      <c r="H89" s="18"/>
    </row>
    <row r="90" spans="1:8" ht="30">
      <c r="A90" s="50" t="s">
        <v>144</v>
      </c>
      <c r="B90" s="28"/>
      <c r="C90" s="46" t="s">
        <v>204</v>
      </c>
      <c r="D90" s="51">
        <f>805.43625+12.56829</f>
        <v>818.00454</v>
      </c>
      <c r="E90" s="28"/>
      <c r="F90" s="28" t="s">
        <v>437</v>
      </c>
      <c r="G90" s="29"/>
      <c r="H90" s="18"/>
    </row>
    <row r="91" spans="1:8" ht="15">
      <c r="A91" s="50" t="s">
        <v>145</v>
      </c>
      <c r="B91" s="28"/>
      <c r="C91" s="48" t="s">
        <v>205</v>
      </c>
      <c r="D91" s="52">
        <f>97.29492+1.4906</f>
        <v>98.78552</v>
      </c>
      <c r="E91" s="28"/>
      <c r="F91" s="28" t="s">
        <v>429</v>
      </c>
      <c r="G91" s="29"/>
      <c r="H91" s="18"/>
    </row>
    <row r="92" spans="1:8" ht="30">
      <c r="A92" s="50" t="s">
        <v>146</v>
      </c>
      <c r="B92" s="28"/>
      <c r="C92" s="45" t="s">
        <v>206</v>
      </c>
      <c r="D92" s="51">
        <f>196.18289+3.05494</f>
        <v>199.23782999999997</v>
      </c>
      <c r="E92" s="28"/>
      <c r="F92" s="28" t="s">
        <v>437</v>
      </c>
      <c r="G92" s="29"/>
      <c r="H92" s="18"/>
    </row>
    <row r="93" spans="1:8" ht="30">
      <c r="A93" s="53" t="s">
        <v>147</v>
      </c>
      <c r="B93" s="28"/>
      <c r="C93" s="48" t="s">
        <v>207</v>
      </c>
      <c r="D93" s="52">
        <f>395.98654+6.16299</f>
        <v>402.14952999999997</v>
      </c>
      <c r="E93" s="28"/>
      <c r="F93" s="28" t="s">
        <v>437</v>
      </c>
      <c r="G93" s="29"/>
      <c r="H93" s="18"/>
    </row>
    <row r="94" spans="1:8" ht="15">
      <c r="A94" s="53" t="s">
        <v>148</v>
      </c>
      <c r="B94" s="28"/>
      <c r="C94" s="48" t="s">
        <v>206</v>
      </c>
      <c r="D94" s="52">
        <f>196.3032+3.061</f>
        <v>199.3642</v>
      </c>
      <c r="E94" s="28"/>
      <c r="F94" s="28" t="s">
        <v>436</v>
      </c>
      <c r="G94" s="29"/>
      <c r="H94" s="18"/>
    </row>
    <row r="95" spans="1:8" ht="30">
      <c r="A95" s="50" t="s">
        <v>149</v>
      </c>
      <c r="B95" s="28"/>
      <c r="C95" s="45" t="s">
        <v>208</v>
      </c>
      <c r="D95" s="54">
        <f>1059.2245+24.321</f>
        <v>1083.5455</v>
      </c>
      <c r="E95" s="28"/>
      <c r="F95" s="28" t="s">
        <v>437</v>
      </c>
      <c r="G95" s="29"/>
      <c r="H95" s="18"/>
    </row>
    <row r="96" spans="1:8" ht="30">
      <c r="A96" s="53" t="s">
        <v>150</v>
      </c>
      <c r="B96" s="28"/>
      <c r="C96" s="55" t="s">
        <v>209</v>
      </c>
      <c r="D96" s="54">
        <f>304.19036+4.73409</f>
        <v>308.92445</v>
      </c>
      <c r="E96" s="28"/>
      <c r="F96" s="28" t="s">
        <v>437</v>
      </c>
      <c r="G96" s="29"/>
      <c r="H96" s="18"/>
    </row>
    <row r="97" spans="1:8" ht="30">
      <c r="A97" s="53" t="s">
        <v>151</v>
      </c>
      <c r="B97" s="28"/>
      <c r="C97" s="55" t="s">
        <v>210</v>
      </c>
      <c r="D97" s="54">
        <f>306.18889+4.75894</f>
        <v>310.94783</v>
      </c>
      <c r="E97" s="28"/>
      <c r="F97" s="28" t="s">
        <v>437</v>
      </c>
      <c r="G97" s="29"/>
      <c r="H97" s="18"/>
    </row>
    <row r="98" spans="1:8" ht="30">
      <c r="A98" s="50" t="s">
        <v>152</v>
      </c>
      <c r="B98" s="28"/>
      <c r="C98" s="45" t="s">
        <v>211</v>
      </c>
      <c r="D98" s="51">
        <f>196.3523+3.05108</f>
        <v>199.40338000000003</v>
      </c>
      <c r="E98" s="28"/>
      <c r="F98" s="28" t="s">
        <v>437</v>
      </c>
      <c r="G98" s="29"/>
      <c r="H98" s="18"/>
    </row>
    <row r="99" spans="1:8" ht="30">
      <c r="A99" s="50" t="s">
        <v>153</v>
      </c>
      <c r="B99" s="28"/>
      <c r="C99" s="45" t="s">
        <v>212</v>
      </c>
      <c r="D99" s="51">
        <f>499.698+7.781</f>
        <v>507.479</v>
      </c>
      <c r="E99" s="28"/>
      <c r="F99" s="28" t="s">
        <v>436</v>
      </c>
      <c r="G99" s="29"/>
      <c r="H99" s="18"/>
    </row>
    <row r="100" spans="1:8" ht="30">
      <c r="A100" s="50" t="s">
        <v>264</v>
      </c>
      <c r="B100" s="28"/>
      <c r="C100" s="45" t="s">
        <v>265</v>
      </c>
      <c r="D100" s="51">
        <f>580.7526+9.0364</f>
        <v>589.789</v>
      </c>
      <c r="E100" s="28"/>
      <c r="F100" s="28" t="s">
        <v>437</v>
      </c>
      <c r="G100" s="29"/>
      <c r="H100" s="18"/>
    </row>
    <row r="101" spans="1:8" ht="30">
      <c r="A101" s="50" t="s">
        <v>154</v>
      </c>
      <c r="B101" s="28"/>
      <c r="C101" s="45" t="s">
        <v>213</v>
      </c>
      <c r="D101" s="51">
        <f>669.86456+10.42026</f>
        <v>680.28482</v>
      </c>
      <c r="E101" s="28"/>
      <c r="F101" s="28" t="s">
        <v>437</v>
      </c>
      <c r="G101" s="29"/>
      <c r="H101" s="18"/>
    </row>
    <row r="102" spans="1:8" ht="30">
      <c r="A102" s="53" t="s">
        <v>223</v>
      </c>
      <c r="B102" s="28"/>
      <c r="C102" s="47" t="s">
        <v>214</v>
      </c>
      <c r="D102" s="56">
        <f>256.619+3.99366</f>
        <v>260.61266</v>
      </c>
      <c r="E102" s="28"/>
      <c r="F102" s="28" t="s">
        <v>437</v>
      </c>
      <c r="G102" s="29"/>
      <c r="H102" s="18"/>
    </row>
    <row r="103" spans="1:8" ht="30">
      <c r="A103" s="53" t="s">
        <v>224</v>
      </c>
      <c r="B103" s="28"/>
      <c r="C103" s="47" t="s">
        <v>225</v>
      </c>
      <c r="D103" s="56">
        <f>1064.37919+16.47585</f>
        <v>1080.8550400000001</v>
      </c>
      <c r="E103" s="28"/>
      <c r="F103" s="28" t="s">
        <v>437</v>
      </c>
      <c r="G103" s="29"/>
      <c r="H103" s="18"/>
    </row>
    <row r="104" spans="1:8" ht="30">
      <c r="A104" s="53" t="s">
        <v>155</v>
      </c>
      <c r="B104" s="28"/>
      <c r="C104" s="55" t="s">
        <v>215</v>
      </c>
      <c r="D104" s="54">
        <f>876.39406+13.6217</f>
        <v>890.01576</v>
      </c>
      <c r="E104" s="28"/>
      <c r="F104" s="28" t="s">
        <v>437</v>
      </c>
      <c r="G104" s="29"/>
      <c r="H104" s="18"/>
    </row>
    <row r="105" spans="1:8" ht="30">
      <c r="A105" s="50" t="s">
        <v>152</v>
      </c>
      <c r="B105" s="28"/>
      <c r="C105" s="45" t="s">
        <v>211</v>
      </c>
      <c r="D105" s="51">
        <f>196.3523+3.05108</f>
        <v>199.40338000000003</v>
      </c>
      <c r="E105" s="28"/>
      <c r="F105" s="28" t="s">
        <v>437</v>
      </c>
      <c r="G105" s="29"/>
      <c r="H105" s="18"/>
    </row>
    <row r="106" spans="1:8" ht="30">
      <c r="A106" s="50" t="s">
        <v>153</v>
      </c>
      <c r="B106" s="28"/>
      <c r="C106" s="45" t="s">
        <v>212</v>
      </c>
      <c r="D106" s="51">
        <f>499.698+7.781</f>
        <v>507.479</v>
      </c>
      <c r="E106" s="28"/>
      <c r="F106" s="28" t="s">
        <v>436</v>
      </c>
      <c r="G106" s="29"/>
      <c r="H106" s="18"/>
    </row>
    <row r="107" spans="1:8" ht="30">
      <c r="A107" s="50" t="s">
        <v>154</v>
      </c>
      <c r="B107" s="28"/>
      <c r="C107" s="45" t="s">
        <v>213</v>
      </c>
      <c r="D107" s="51">
        <f>669.86456+10.42026</f>
        <v>680.28482</v>
      </c>
      <c r="E107" s="28"/>
      <c r="F107" s="28" t="s">
        <v>437</v>
      </c>
      <c r="G107" s="29"/>
      <c r="H107" s="18"/>
    </row>
    <row r="108" spans="1:8" ht="30">
      <c r="A108" s="53" t="s">
        <v>156</v>
      </c>
      <c r="B108" s="28"/>
      <c r="C108" s="47" t="s">
        <v>216</v>
      </c>
      <c r="D108" s="56">
        <f>52.03421+0.80978</f>
        <v>52.843990000000005</v>
      </c>
      <c r="E108" s="28"/>
      <c r="F108" s="28" t="s">
        <v>437</v>
      </c>
      <c r="G108" s="29"/>
      <c r="H108" s="18"/>
    </row>
    <row r="109" spans="1:8" ht="30">
      <c r="A109" s="53" t="s">
        <v>157</v>
      </c>
      <c r="B109" s="28"/>
      <c r="C109" s="47" t="s">
        <v>217</v>
      </c>
      <c r="D109" s="56">
        <f>61.02416+0.94891</f>
        <v>61.97307</v>
      </c>
      <c r="E109" s="28"/>
      <c r="F109" s="28" t="s">
        <v>437</v>
      </c>
      <c r="G109" s="29"/>
      <c r="H109" s="18"/>
    </row>
    <row r="110" spans="1:8" ht="30">
      <c r="A110" s="50" t="s">
        <v>158</v>
      </c>
      <c r="B110" s="28"/>
      <c r="C110" s="45" t="s">
        <v>218</v>
      </c>
      <c r="D110" s="51">
        <f>523.789-33.702</f>
        <v>490.087</v>
      </c>
      <c r="E110" s="28"/>
      <c r="F110" s="28" t="s">
        <v>437</v>
      </c>
      <c r="G110" s="29"/>
      <c r="H110" s="18"/>
    </row>
    <row r="111" spans="1:8" ht="30">
      <c r="A111" s="53" t="s">
        <v>159</v>
      </c>
      <c r="B111" s="28"/>
      <c r="C111" s="47" t="s">
        <v>219</v>
      </c>
      <c r="D111" s="56">
        <f>63.97802+0.99223</f>
        <v>64.97025000000001</v>
      </c>
      <c r="E111" s="28"/>
      <c r="F111" s="28" t="s">
        <v>437</v>
      </c>
      <c r="G111" s="29"/>
      <c r="H111" s="18"/>
    </row>
    <row r="112" spans="1:8" ht="30">
      <c r="A112" s="53" t="s">
        <v>160</v>
      </c>
      <c r="B112" s="28"/>
      <c r="C112" s="47" t="s">
        <v>193</v>
      </c>
      <c r="D112" s="56">
        <f>194.41603+3.01048</f>
        <v>197.42651</v>
      </c>
      <c r="E112" s="28"/>
      <c r="F112" s="28" t="s">
        <v>437</v>
      </c>
      <c r="G112" s="29"/>
      <c r="H112" s="18"/>
    </row>
    <row r="113" spans="1:8" ht="30">
      <c r="A113" s="53" t="s">
        <v>161</v>
      </c>
      <c r="B113" s="28"/>
      <c r="C113" s="47" t="s">
        <v>220</v>
      </c>
      <c r="D113" s="56">
        <f>195.76181+3.02134</f>
        <v>198.78315</v>
      </c>
      <c r="E113" s="28"/>
      <c r="F113" s="28" t="s">
        <v>437</v>
      </c>
      <c r="G113" s="29"/>
      <c r="H113" s="18"/>
    </row>
    <row r="114" spans="1:8" ht="30">
      <c r="A114" s="53" t="s">
        <v>162</v>
      </c>
      <c r="B114" s="28"/>
      <c r="C114" s="47" t="s">
        <v>221</v>
      </c>
      <c r="D114" s="56">
        <f>111.27263+1.71733</f>
        <v>112.98996000000001</v>
      </c>
      <c r="E114" s="28"/>
      <c r="F114" s="28" t="s">
        <v>437</v>
      </c>
      <c r="G114" s="29"/>
      <c r="H114" s="18"/>
    </row>
    <row r="115" spans="1:8" ht="30">
      <c r="A115" s="53" t="s">
        <v>163</v>
      </c>
      <c r="B115" s="28"/>
      <c r="C115" s="47" t="s">
        <v>222</v>
      </c>
      <c r="D115" s="56">
        <f>191.82282+2.9461</f>
        <v>194.76892</v>
      </c>
      <c r="E115" s="28"/>
      <c r="F115" s="28" t="s">
        <v>437</v>
      </c>
      <c r="G115" s="29"/>
      <c r="H115" s="18"/>
    </row>
    <row r="116" spans="1:8" ht="15">
      <c r="A116" s="41" t="s">
        <v>102</v>
      </c>
      <c r="B116" s="28"/>
      <c r="C116" s="43" t="s">
        <v>266</v>
      </c>
      <c r="D116" s="42">
        <v>5999.824</v>
      </c>
      <c r="E116" s="28"/>
      <c r="F116" s="28"/>
      <c r="G116" s="29"/>
      <c r="H116" s="100" t="s">
        <v>21</v>
      </c>
    </row>
    <row r="117" spans="1:8" ht="15">
      <c r="A117" s="50" t="s">
        <v>226</v>
      </c>
      <c r="B117" s="28"/>
      <c r="C117" s="57">
        <v>405</v>
      </c>
      <c r="D117" s="51">
        <f>164.95038+2.55807</f>
        <v>167.50844999999998</v>
      </c>
      <c r="E117" s="28"/>
      <c r="F117" s="28" t="s">
        <v>438</v>
      </c>
      <c r="G117" s="29"/>
      <c r="H117" s="101"/>
    </row>
    <row r="118" spans="1:8" ht="15">
      <c r="A118" s="50" t="s">
        <v>227</v>
      </c>
      <c r="B118" s="28"/>
      <c r="C118" s="58">
        <v>454</v>
      </c>
      <c r="D118" s="52">
        <f>164.6196+2.548</f>
        <v>167.1676</v>
      </c>
      <c r="E118" s="28"/>
      <c r="F118" s="28" t="s">
        <v>439</v>
      </c>
      <c r="G118" s="29"/>
      <c r="H118" s="101"/>
    </row>
    <row r="119" spans="1:8" ht="15">
      <c r="A119" s="59" t="s">
        <v>228</v>
      </c>
      <c r="B119" s="28"/>
      <c r="C119" s="47">
        <v>600</v>
      </c>
      <c r="D119" s="52">
        <f>196.3309+3.047</f>
        <v>199.3779</v>
      </c>
      <c r="E119" s="28"/>
      <c r="F119" s="28" t="s">
        <v>438</v>
      </c>
      <c r="G119" s="29"/>
      <c r="H119" s="101"/>
    </row>
    <row r="120" spans="1:8" ht="15">
      <c r="A120" s="53" t="s">
        <v>229</v>
      </c>
      <c r="B120" s="28"/>
      <c r="C120" s="57">
        <v>520</v>
      </c>
      <c r="D120" s="51">
        <f>168.8424+2.608</f>
        <v>171.4504</v>
      </c>
      <c r="E120" s="28"/>
      <c r="F120" s="28" t="s">
        <v>440</v>
      </c>
      <c r="G120" s="29"/>
      <c r="H120" s="101"/>
    </row>
    <row r="121" spans="1:8" ht="15">
      <c r="A121" s="60" t="s">
        <v>230</v>
      </c>
      <c r="B121" s="28"/>
      <c r="C121" s="61">
        <v>285</v>
      </c>
      <c r="D121" s="51">
        <f>136.534+2.119</f>
        <v>138.653</v>
      </c>
      <c r="E121" s="28"/>
      <c r="F121" s="28" t="s">
        <v>440</v>
      </c>
      <c r="G121" s="29"/>
      <c r="H121" s="101"/>
    </row>
    <row r="122" spans="1:8" ht="15">
      <c r="A122" s="60" t="s">
        <v>231</v>
      </c>
      <c r="B122" s="28"/>
      <c r="C122" s="61">
        <v>575</v>
      </c>
      <c r="D122" s="51">
        <f>180.446+2.796</f>
        <v>183.242</v>
      </c>
      <c r="E122" s="28"/>
      <c r="F122" s="28" t="s">
        <v>440</v>
      </c>
      <c r="G122" s="29"/>
      <c r="H122" s="101"/>
    </row>
    <row r="123" spans="1:8" ht="30">
      <c r="A123" s="60" t="s">
        <v>232</v>
      </c>
      <c r="B123" s="28"/>
      <c r="C123" s="46">
        <f>346+52.3</f>
        <v>398.3</v>
      </c>
      <c r="D123" s="51">
        <f>104.4696+14.3232+1.843</f>
        <v>120.6358</v>
      </c>
      <c r="E123" s="28"/>
      <c r="F123" s="28" t="s">
        <v>441</v>
      </c>
      <c r="G123" s="29"/>
      <c r="H123" s="101"/>
    </row>
    <row r="124" spans="1:8" ht="15">
      <c r="A124" s="59" t="s">
        <v>233</v>
      </c>
      <c r="B124" s="28"/>
      <c r="C124" s="61">
        <v>330</v>
      </c>
      <c r="D124" s="51">
        <f>125.541+2.168</f>
        <v>127.709</v>
      </c>
      <c r="E124" s="28"/>
      <c r="F124" s="28" t="s">
        <v>440</v>
      </c>
      <c r="G124" s="29"/>
      <c r="H124" s="101"/>
    </row>
    <row r="125" spans="1:8" ht="15">
      <c r="A125" s="59" t="s">
        <v>234</v>
      </c>
      <c r="B125" s="28"/>
      <c r="C125" s="61">
        <v>248</v>
      </c>
      <c r="D125" s="51">
        <f>80.3124+1.267</f>
        <v>81.57939999999999</v>
      </c>
      <c r="E125" s="28"/>
      <c r="F125" s="28" t="s">
        <v>440</v>
      </c>
      <c r="G125" s="29"/>
      <c r="H125" s="101"/>
    </row>
    <row r="126" spans="1:8" ht="15">
      <c r="A126" s="59" t="s">
        <v>235</v>
      </c>
      <c r="B126" s="28"/>
      <c r="C126" s="61">
        <v>536</v>
      </c>
      <c r="D126" s="51">
        <f>170.8272+2.704</f>
        <v>173.5312</v>
      </c>
      <c r="E126" s="28"/>
      <c r="F126" s="28" t="s">
        <v>440</v>
      </c>
      <c r="G126" s="29"/>
      <c r="H126" s="101"/>
    </row>
    <row r="127" spans="1:8" ht="15">
      <c r="A127" s="59" t="s">
        <v>236</v>
      </c>
      <c r="B127" s="28"/>
      <c r="C127" s="46">
        <v>329</v>
      </c>
      <c r="D127" s="51">
        <f>143.2656+2.228</f>
        <v>145.49360000000001</v>
      </c>
      <c r="E127" s="28"/>
      <c r="F127" s="28" t="s">
        <v>436</v>
      </c>
      <c r="G127" s="29"/>
      <c r="H127" s="101"/>
    </row>
    <row r="128" spans="1:8" ht="15">
      <c r="A128" s="59" t="s">
        <v>237</v>
      </c>
      <c r="B128" s="28"/>
      <c r="C128" s="46">
        <v>550</v>
      </c>
      <c r="D128" s="51">
        <f>82.9212+1.293</f>
        <v>84.2142</v>
      </c>
      <c r="E128" s="28"/>
      <c r="F128" s="28" t="s">
        <v>436</v>
      </c>
      <c r="G128" s="29"/>
      <c r="H128" s="101"/>
    </row>
    <row r="129" spans="1:8" ht="15">
      <c r="A129" s="59" t="s">
        <v>238</v>
      </c>
      <c r="B129" s="28"/>
      <c r="C129" s="46">
        <v>446</v>
      </c>
      <c r="D129" s="51">
        <f>164.298+2.556</f>
        <v>166.854</v>
      </c>
      <c r="E129" s="28"/>
      <c r="F129" s="28" t="s">
        <v>436</v>
      </c>
      <c r="G129" s="29"/>
      <c r="H129" s="101"/>
    </row>
    <row r="130" spans="1:8" ht="15">
      <c r="A130" s="50" t="s">
        <v>239</v>
      </c>
      <c r="B130" s="28"/>
      <c r="C130" s="62">
        <v>400</v>
      </c>
      <c r="D130" s="51">
        <f>126.0672+1.95</f>
        <v>128.0172</v>
      </c>
      <c r="E130" s="28"/>
      <c r="F130" s="28" t="s">
        <v>440</v>
      </c>
      <c r="G130" s="29"/>
      <c r="H130" s="101"/>
    </row>
    <row r="131" spans="1:8" ht="15">
      <c r="A131" s="50" t="s">
        <v>240</v>
      </c>
      <c r="B131" s="28"/>
      <c r="C131" s="62">
        <v>490</v>
      </c>
      <c r="D131" s="51">
        <f>179.5932+2.783</f>
        <v>182.37619999999998</v>
      </c>
      <c r="E131" s="28"/>
      <c r="F131" s="28" t="s">
        <v>440</v>
      </c>
      <c r="G131" s="29"/>
      <c r="H131" s="101"/>
    </row>
    <row r="132" spans="1:8" ht="15">
      <c r="A132" s="50" t="s">
        <v>241</v>
      </c>
      <c r="B132" s="28"/>
      <c r="C132" s="62">
        <v>200</v>
      </c>
      <c r="D132" s="51">
        <f>61.5636+0.954</f>
        <v>62.5176</v>
      </c>
      <c r="E132" s="28"/>
      <c r="F132" s="28" t="s">
        <v>440</v>
      </c>
      <c r="G132" s="29"/>
      <c r="H132" s="101"/>
    </row>
    <row r="133" spans="1:8" ht="30">
      <c r="A133" s="59" t="s">
        <v>242</v>
      </c>
      <c r="B133" s="28"/>
      <c r="C133" s="61">
        <v>1000</v>
      </c>
      <c r="D133" s="51">
        <f>472.04994+7.33911</f>
        <v>479.38905</v>
      </c>
      <c r="E133" s="28"/>
      <c r="F133" s="28" t="s">
        <v>437</v>
      </c>
      <c r="G133" s="29"/>
      <c r="H133" s="101"/>
    </row>
    <row r="134" spans="1:8" ht="15">
      <c r="A134" s="59" t="s">
        <v>243</v>
      </c>
      <c r="B134" s="28"/>
      <c r="C134" s="61">
        <v>500</v>
      </c>
      <c r="D134" s="51">
        <f>152.413+2.362</f>
        <v>154.775</v>
      </c>
      <c r="E134" s="28"/>
      <c r="F134" s="28" t="s">
        <v>440</v>
      </c>
      <c r="G134" s="29"/>
      <c r="H134" s="101"/>
    </row>
    <row r="135" spans="1:8" ht="15">
      <c r="A135" s="59" t="s">
        <v>244</v>
      </c>
      <c r="B135" s="28"/>
      <c r="C135" s="61">
        <v>600</v>
      </c>
      <c r="D135" s="51">
        <f>190.6392+2.954</f>
        <v>193.5932</v>
      </c>
      <c r="E135" s="28"/>
      <c r="F135" s="28" t="s">
        <v>440</v>
      </c>
      <c r="G135" s="29"/>
      <c r="H135" s="101"/>
    </row>
    <row r="136" spans="1:8" ht="15">
      <c r="A136" s="59" t="s">
        <v>245</v>
      </c>
      <c r="B136" s="28"/>
      <c r="C136" s="61">
        <v>633</v>
      </c>
      <c r="D136" s="51">
        <f>192.803+3.422</f>
        <v>196.225</v>
      </c>
      <c r="E136" s="28"/>
      <c r="F136" s="28" t="s">
        <v>440</v>
      </c>
      <c r="G136" s="29"/>
      <c r="H136" s="101"/>
    </row>
    <row r="137" spans="1:8" ht="15">
      <c r="A137" s="59" t="s">
        <v>246</v>
      </c>
      <c r="B137" s="28"/>
      <c r="C137" s="46">
        <v>360</v>
      </c>
      <c r="D137" s="51">
        <f>98.6352+1.533</f>
        <v>100.1682</v>
      </c>
      <c r="E137" s="28"/>
      <c r="F137" s="28" t="s">
        <v>439</v>
      </c>
      <c r="G137" s="29"/>
      <c r="H137" s="101"/>
    </row>
    <row r="138" spans="1:8" ht="15">
      <c r="A138" s="59" t="s">
        <v>247</v>
      </c>
      <c r="B138" s="28"/>
      <c r="C138" s="46">
        <v>531</v>
      </c>
      <c r="D138" s="51">
        <f>106.49796+1.87692</f>
        <v>108.37488</v>
      </c>
      <c r="E138" s="28"/>
      <c r="F138" s="28" t="s">
        <v>442</v>
      </c>
      <c r="G138" s="29"/>
      <c r="H138" s="101"/>
    </row>
    <row r="139" spans="1:8" ht="15">
      <c r="A139" s="59" t="s">
        <v>248</v>
      </c>
      <c r="B139" s="28"/>
      <c r="C139" s="46">
        <f>400+90</f>
        <v>490</v>
      </c>
      <c r="D139" s="51">
        <f>108.20217+1.9162+24.72384+0.4383</f>
        <v>135.28051</v>
      </c>
      <c r="E139" s="28"/>
      <c r="F139" s="28" t="s">
        <v>442</v>
      </c>
      <c r="G139" s="29"/>
      <c r="H139" s="101"/>
    </row>
    <row r="140" spans="1:8" ht="15">
      <c r="A140" s="59" t="s">
        <v>249</v>
      </c>
      <c r="B140" s="28"/>
      <c r="C140" s="46">
        <v>570</v>
      </c>
      <c r="D140" s="51">
        <f>149.1216+2.319</f>
        <v>151.4406</v>
      </c>
      <c r="E140" s="28"/>
      <c r="F140" s="28" t="s">
        <v>439</v>
      </c>
      <c r="G140" s="29"/>
      <c r="H140" s="101"/>
    </row>
    <row r="141" spans="1:8" ht="15">
      <c r="A141" s="59" t="s">
        <v>250</v>
      </c>
      <c r="B141" s="28"/>
      <c r="C141" s="46">
        <v>590</v>
      </c>
      <c r="D141" s="51">
        <f>154.038+2.398</f>
        <v>156.436</v>
      </c>
      <c r="E141" s="28"/>
      <c r="F141" s="28" t="s">
        <v>439</v>
      </c>
      <c r="G141" s="29"/>
      <c r="H141" s="101"/>
    </row>
    <row r="142" spans="1:8" ht="15">
      <c r="A142" s="59" t="s">
        <v>251</v>
      </c>
      <c r="B142" s="28"/>
      <c r="C142" s="46">
        <v>350</v>
      </c>
      <c r="D142" s="51">
        <f>103.69966+1.83406</f>
        <v>105.53371999999999</v>
      </c>
      <c r="E142" s="28"/>
      <c r="F142" s="28" t="s">
        <v>442</v>
      </c>
      <c r="G142" s="29"/>
      <c r="H142" s="101"/>
    </row>
    <row r="143" spans="1:8" ht="15">
      <c r="A143" s="59" t="s">
        <v>252</v>
      </c>
      <c r="B143" s="28"/>
      <c r="C143" s="46">
        <v>360</v>
      </c>
      <c r="D143" s="51">
        <f>147.68411+2.286</f>
        <v>149.97011</v>
      </c>
      <c r="E143" s="28"/>
      <c r="F143" s="28" t="s">
        <v>438</v>
      </c>
      <c r="G143" s="29"/>
      <c r="H143" s="101"/>
    </row>
    <row r="144" spans="1:8" ht="15">
      <c r="A144" s="59" t="s">
        <v>253</v>
      </c>
      <c r="B144" s="28"/>
      <c r="C144" s="46">
        <v>420</v>
      </c>
      <c r="D144" s="51">
        <f>165.1016+2.566</f>
        <v>167.6676</v>
      </c>
      <c r="E144" s="28"/>
      <c r="F144" s="28" t="s">
        <v>438</v>
      </c>
      <c r="G144" s="29"/>
      <c r="H144" s="101"/>
    </row>
    <row r="145" spans="1:8" ht="15">
      <c r="A145" s="59" t="s">
        <v>254</v>
      </c>
      <c r="B145" s="28"/>
      <c r="C145" s="46">
        <v>410</v>
      </c>
      <c r="D145" s="52">
        <f>176.36392+2.73663</f>
        <v>179.10055</v>
      </c>
      <c r="E145" s="28"/>
      <c r="F145" s="28" t="s">
        <v>438</v>
      </c>
      <c r="G145" s="29"/>
      <c r="H145" s="101"/>
    </row>
    <row r="146" spans="1:8" ht="15">
      <c r="A146" s="59" t="s">
        <v>255</v>
      </c>
      <c r="B146" s="28"/>
      <c r="C146" s="46">
        <v>440</v>
      </c>
      <c r="D146" s="51">
        <f>186.08308+2.886</f>
        <v>188.96908</v>
      </c>
      <c r="E146" s="28"/>
      <c r="F146" s="28" t="s">
        <v>438</v>
      </c>
      <c r="G146" s="29"/>
      <c r="H146" s="101"/>
    </row>
    <row r="147" spans="1:8" ht="15">
      <c r="A147" s="59" t="s">
        <v>256</v>
      </c>
      <c r="B147" s="28"/>
      <c r="C147" s="46">
        <v>560</v>
      </c>
      <c r="D147" s="51">
        <f>196.15519+3.043</f>
        <v>199.19819</v>
      </c>
      <c r="E147" s="28"/>
      <c r="F147" s="28" t="s">
        <v>438</v>
      </c>
      <c r="G147" s="29"/>
      <c r="H147" s="101"/>
    </row>
    <row r="148" spans="1:8" ht="18" customHeight="1">
      <c r="A148" s="59" t="s">
        <v>257</v>
      </c>
      <c r="B148" s="28"/>
      <c r="C148" s="46">
        <v>590</v>
      </c>
      <c r="D148" s="52">
        <f>194.68796+3.01804</f>
        <v>197.70600000000002</v>
      </c>
      <c r="E148" s="28"/>
      <c r="F148" s="28" t="s">
        <v>438</v>
      </c>
      <c r="G148" s="29"/>
      <c r="H148" s="101"/>
    </row>
    <row r="149" spans="1:8" ht="15">
      <c r="A149" s="59" t="s">
        <v>258</v>
      </c>
      <c r="B149" s="28"/>
      <c r="C149" s="46">
        <v>390</v>
      </c>
      <c r="D149" s="51">
        <f>163.79146+2.541</f>
        <v>166.33246</v>
      </c>
      <c r="E149" s="28"/>
      <c r="F149" s="28" t="s">
        <v>438</v>
      </c>
      <c r="G149" s="29"/>
      <c r="H149" s="101"/>
    </row>
    <row r="150" spans="1:8" ht="15">
      <c r="A150" s="59" t="s">
        <v>259</v>
      </c>
      <c r="B150" s="28"/>
      <c r="C150" s="46">
        <v>520</v>
      </c>
      <c r="D150" s="52">
        <f>192.23467+2.98209</f>
        <v>195.21676</v>
      </c>
      <c r="E150" s="28"/>
      <c r="F150" s="28" t="s">
        <v>438</v>
      </c>
      <c r="G150" s="29"/>
      <c r="H150" s="101"/>
    </row>
    <row r="151" spans="1:8" ht="15">
      <c r="A151" s="59" t="s">
        <v>260</v>
      </c>
      <c r="B151" s="28"/>
      <c r="C151" s="46">
        <v>600</v>
      </c>
      <c r="D151" s="52">
        <f>196.35112+3.04065</f>
        <v>199.39177</v>
      </c>
      <c r="E151" s="28"/>
      <c r="F151" s="28" t="s">
        <v>438</v>
      </c>
      <c r="G151" s="29"/>
      <c r="H151" s="101"/>
    </row>
    <row r="152" spans="1:8" ht="15">
      <c r="A152" s="59" t="s">
        <v>263</v>
      </c>
      <c r="B152" s="28"/>
      <c r="C152" s="61">
        <v>80</v>
      </c>
      <c r="D152" s="51">
        <f>25.02+0.39</f>
        <v>25.41</v>
      </c>
      <c r="E152" s="28"/>
      <c r="F152" s="28" t="s">
        <v>436</v>
      </c>
      <c r="G152" s="29"/>
      <c r="H152" s="101"/>
    </row>
    <row r="153" spans="1:8" ht="30">
      <c r="A153" s="50" t="s">
        <v>261</v>
      </c>
      <c r="B153" s="28"/>
      <c r="C153" s="57">
        <v>507</v>
      </c>
      <c r="D153" s="51">
        <f>166.69722+2.59051</f>
        <v>169.28772999999998</v>
      </c>
      <c r="E153" s="28"/>
      <c r="F153" s="28" t="s">
        <v>437</v>
      </c>
      <c r="G153" s="29"/>
      <c r="H153" s="101"/>
    </row>
    <row r="154" spans="1:8" ht="30">
      <c r="A154" s="50" t="s">
        <v>262</v>
      </c>
      <c r="B154" s="28"/>
      <c r="C154" s="57">
        <v>227</v>
      </c>
      <c r="D154" s="51">
        <f>78.87738+1.22295</f>
        <v>80.10033</v>
      </c>
      <c r="E154" s="28"/>
      <c r="F154" s="28" t="s">
        <v>437</v>
      </c>
      <c r="G154" s="29"/>
      <c r="H154" s="102"/>
    </row>
    <row r="155" spans="1:8" ht="15">
      <c r="A155" s="14" t="s">
        <v>16</v>
      </c>
      <c r="B155" s="15"/>
      <c r="C155" s="15"/>
      <c r="D155" s="15"/>
      <c r="E155" s="15"/>
      <c r="F155" s="15"/>
      <c r="G155" s="16"/>
      <c r="H155" s="17"/>
    </row>
    <row r="156" spans="1:8" ht="15">
      <c r="A156" s="5" t="s">
        <v>5</v>
      </c>
      <c r="B156" s="30">
        <f>SUM(B157:B164)</f>
        <v>71898.839</v>
      </c>
      <c r="C156" s="6"/>
      <c r="D156" s="30">
        <f>SUM(D157:D164)</f>
        <v>18603.236380000002</v>
      </c>
      <c r="E156" s="30">
        <f>SUM(E157:E164)</f>
        <v>49825.067299999995</v>
      </c>
      <c r="F156" s="30"/>
      <c r="G156" s="31">
        <f aca="true" t="shared" si="1" ref="G156:G167">D156/B156</f>
        <v>0.2587418189047531</v>
      </c>
      <c r="H156" s="5"/>
    </row>
    <row r="157" spans="1:8" s="4" customFormat="1" ht="195">
      <c r="A157" s="19" t="s">
        <v>17</v>
      </c>
      <c r="B157" s="28">
        <v>40794.111</v>
      </c>
      <c r="C157" s="28" t="s">
        <v>401</v>
      </c>
      <c r="D157" s="28">
        <v>17140</v>
      </c>
      <c r="E157" s="28">
        <f>B157-D157</f>
        <v>23654.110999999997</v>
      </c>
      <c r="F157" s="28" t="s">
        <v>444</v>
      </c>
      <c r="G157" s="29">
        <f t="shared" si="1"/>
        <v>0.42015868417870417</v>
      </c>
      <c r="H157" s="26" t="s">
        <v>25</v>
      </c>
    </row>
    <row r="158" spans="1:8" ht="60">
      <c r="A158" s="26" t="s">
        <v>403</v>
      </c>
      <c r="B158" s="35">
        <v>18000</v>
      </c>
      <c r="C158" s="44" t="s">
        <v>269</v>
      </c>
      <c r="D158" s="35">
        <f>128+2.552</f>
        <v>130.552</v>
      </c>
      <c r="E158" s="28">
        <f>B158-D158</f>
        <v>17869.448</v>
      </c>
      <c r="F158" s="89" t="s">
        <v>445</v>
      </c>
      <c r="G158" s="29">
        <f>D158/B158</f>
        <v>0.007252888888888889</v>
      </c>
      <c r="H158" s="18" t="s">
        <v>270</v>
      </c>
    </row>
    <row r="159" spans="1:8" ht="45">
      <c r="A159" s="26" t="s">
        <v>404</v>
      </c>
      <c r="B159" s="35">
        <v>3460</v>
      </c>
      <c r="C159" s="44"/>
      <c r="D159" s="35"/>
      <c r="E159" s="28"/>
      <c r="F159" s="28"/>
      <c r="G159" s="29">
        <f>D159/B159</f>
        <v>0</v>
      </c>
      <c r="H159" s="18" t="s">
        <v>402</v>
      </c>
    </row>
    <row r="160" spans="1:8" ht="92.25" customHeight="1">
      <c r="A160" s="26" t="s">
        <v>405</v>
      </c>
      <c r="B160" s="28">
        <v>2620</v>
      </c>
      <c r="C160" s="44"/>
      <c r="D160" s="35"/>
      <c r="E160" s="28">
        <v>2620</v>
      </c>
      <c r="F160" s="28"/>
      <c r="G160" s="29">
        <f>D160/B160</f>
        <v>0</v>
      </c>
      <c r="H160" s="40" t="s">
        <v>272</v>
      </c>
    </row>
    <row r="161" spans="1:8" ht="62.25" customHeight="1">
      <c r="A161" s="26" t="s">
        <v>406</v>
      </c>
      <c r="B161" s="35">
        <f>B162+99.14</f>
        <v>192.934</v>
      </c>
      <c r="C161" s="44" t="s">
        <v>408</v>
      </c>
      <c r="D161" s="35">
        <f>D162+99.14</f>
        <v>187.66634</v>
      </c>
      <c r="E161" s="28"/>
      <c r="F161" s="89" t="s">
        <v>446</v>
      </c>
      <c r="G161" s="29">
        <f>D161/B161</f>
        <v>0.9726970881233997</v>
      </c>
      <c r="H161" s="40" t="s">
        <v>413</v>
      </c>
    </row>
    <row r="162" spans="1:8" ht="48" customHeight="1">
      <c r="A162" s="86" t="s">
        <v>410</v>
      </c>
      <c r="B162" s="35">
        <f>36.235+23.993+33.566</f>
        <v>93.794</v>
      </c>
      <c r="C162" s="44" t="s">
        <v>412</v>
      </c>
      <c r="D162" s="35">
        <f>42.82306+19.01783+26.68545</f>
        <v>88.52634</v>
      </c>
      <c r="E162" s="28"/>
      <c r="F162" s="89" t="s">
        <v>457</v>
      </c>
      <c r="G162" s="29"/>
      <c r="H162" s="40"/>
    </row>
    <row r="163" spans="1:8" ht="60" customHeight="1">
      <c r="A163" s="22" t="s">
        <v>19</v>
      </c>
      <c r="B163" s="35">
        <v>3738</v>
      </c>
      <c r="C163" s="35" t="s">
        <v>273</v>
      </c>
      <c r="D163" s="35">
        <v>966.44997</v>
      </c>
      <c r="E163" s="35">
        <f>B163-D163</f>
        <v>2771.55003</v>
      </c>
      <c r="F163" s="35" t="s">
        <v>447</v>
      </c>
      <c r="G163" s="29">
        <f t="shared" si="1"/>
        <v>0.25854734349919745</v>
      </c>
      <c r="H163" s="18" t="s">
        <v>407</v>
      </c>
    </row>
    <row r="164" spans="1:8" ht="75">
      <c r="A164" s="22" t="s">
        <v>20</v>
      </c>
      <c r="B164" s="35">
        <v>3000</v>
      </c>
      <c r="C164" s="35" t="s">
        <v>271</v>
      </c>
      <c r="D164" s="35">
        <v>90.04173</v>
      </c>
      <c r="E164" s="35">
        <f>B164-D164</f>
        <v>2909.95827</v>
      </c>
      <c r="F164" s="91" t="s">
        <v>448</v>
      </c>
      <c r="G164" s="29">
        <f t="shared" si="1"/>
        <v>0.03001391</v>
      </c>
      <c r="H164" s="18" t="s">
        <v>26</v>
      </c>
    </row>
    <row r="165" spans="1:8" ht="345" customHeight="1">
      <c r="A165" s="8" t="s">
        <v>11</v>
      </c>
      <c r="B165" s="84">
        <v>24381.639</v>
      </c>
      <c r="C165" s="84"/>
      <c r="D165" s="84">
        <v>17366.58</v>
      </c>
      <c r="E165" s="84">
        <f>B165-D165</f>
        <v>7015.0589999999975</v>
      </c>
      <c r="F165" s="84" t="s">
        <v>449</v>
      </c>
      <c r="G165" s="85">
        <f t="shared" si="1"/>
        <v>0.7122810734750031</v>
      </c>
      <c r="H165" s="8" t="s">
        <v>409</v>
      </c>
    </row>
    <row r="166" spans="1:8" ht="45">
      <c r="A166" s="8" t="s">
        <v>12</v>
      </c>
      <c r="B166" s="84">
        <f>SUM(B167:B167)</f>
        <v>113830.913</v>
      </c>
      <c r="C166" s="84"/>
      <c r="D166" s="84">
        <f>SUM(D167:D167)</f>
        <v>85929.114</v>
      </c>
      <c r="E166" s="84">
        <f>SUM(E167:E167)</f>
        <v>27901.799</v>
      </c>
      <c r="F166" s="84"/>
      <c r="G166" s="85">
        <f t="shared" si="1"/>
        <v>0.7548838161387672</v>
      </c>
      <c r="H166" s="10"/>
    </row>
    <row r="167" spans="1:8" ht="75">
      <c r="A167" s="22" t="s">
        <v>14</v>
      </c>
      <c r="B167" s="28">
        <v>113830.913</v>
      </c>
      <c r="C167" s="28" t="s">
        <v>423</v>
      </c>
      <c r="D167" s="28">
        <v>85929.114</v>
      </c>
      <c r="E167" s="28">
        <f>B167-D167</f>
        <v>27901.799</v>
      </c>
      <c r="F167" s="28"/>
      <c r="G167" s="29">
        <f t="shared" si="1"/>
        <v>0.7548838161387672</v>
      </c>
      <c r="H167" s="24" t="s">
        <v>22</v>
      </c>
    </row>
    <row r="168" spans="1:8" ht="15">
      <c r="A168" s="41" t="s">
        <v>101</v>
      </c>
      <c r="B168" s="23"/>
      <c r="C168" s="42" t="s">
        <v>363</v>
      </c>
      <c r="D168" s="42">
        <v>75255.93</v>
      </c>
      <c r="E168" s="23"/>
      <c r="F168" s="23"/>
      <c r="G168" s="20"/>
      <c r="H168" s="24"/>
    </row>
    <row r="169" spans="1:8" ht="30">
      <c r="A169" s="50" t="s">
        <v>274</v>
      </c>
      <c r="B169" s="23"/>
      <c r="C169" s="45" t="s">
        <v>362</v>
      </c>
      <c r="D169" s="49">
        <f>2.556+2365.66874+43.023+1.116</f>
        <v>2412.3637400000002</v>
      </c>
      <c r="E169" s="23"/>
      <c r="F169" s="28" t="s">
        <v>437</v>
      </c>
      <c r="G169" s="20"/>
      <c r="H169" s="24"/>
    </row>
    <row r="170" spans="1:8" ht="30">
      <c r="A170" s="53" t="s">
        <v>275</v>
      </c>
      <c r="B170" s="23"/>
      <c r="C170" s="45" t="s">
        <v>364</v>
      </c>
      <c r="D170" s="49">
        <f>3.756+1019.51196+20.64457+1.116</f>
        <v>1045.02853</v>
      </c>
      <c r="E170" s="23"/>
      <c r="F170" s="28" t="s">
        <v>437</v>
      </c>
      <c r="G170" s="20"/>
      <c r="H170" s="24"/>
    </row>
    <row r="171" spans="1:8" ht="30">
      <c r="A171" s="50" t="s">
        <v>276</v>
      </c>
      <c r="B171" s="23"/>
      <c r="C171" s="45" t="s">
        <v>365</v>
      </c>
      <c r="D171" s="49">
        <f>2.556+1431.4165+28.97863+1.116</f>
        <v>1464.0671300000001</v>
      </c>
      <c r="E171" s="23"/>
      <c r="F171" s="28" t="s">
        <v>437</v>
      </c>
      <c r="G171" s="20"/>
      <c r="H171" s="24"/>
    </row>
    <row r="172" spans="1:8" ht="30">
      <c r="A172" s="53" t="s">
        <v>277</v>
      </c>
      <c r="B172" s="23"/>
      <c r="C172" s="46" t="s">
        <v>366</v>
      </c>
      <c r="D172" s="49">
        <f>2.06+1308.6588+26.558+0.93</f>
        <v>1338.2068</v>
      </c>
      <c r="E172" s="23"/>
      <c r="F172" s="28" t="s">
        <v>436</v>
      </c>
      <c r="G172" s="20"/>
      <c r="H172" s="24"/>
    </row>
    <row r="173" spans="1:8" ht="30">
      <c r="A173" s="50" t="s">
        <v>309</v>
      </c>
      <c r="B173" s="23"/>
      <c r="C173" s="47" t="s">
        <v>367</v>
      </c>
      <c r="D173" s="49">
        <f>1.86+1.249+0.93+749.0064+15.198+3123+1341.87</f>
        <v>5233.1134</v>
      </c>
      <c r="E173" s="23"/>
      <c r="F173" s="28" t="s">
        <v>436</v>
      </c>
      <c r="G173" s="20"/>
      <c r="H173" s="24"/>
    </row>
    <row r="174" spans="1:8" ht="60">
      <c r="A174" s="50" t="s">
        <v>305</v>
      </c>
      <c r="B174" s="23"/>
      <c r="C174" s="45" t="s">
        <v>368</v>
      </c>
      <c r="D174" s="49">
        <f>1.86+1.565+1131.2448+22.956+0.93+4744.29+4536.78+2908.43+1373.8+1373.01+1371.51+1986.51</f>
        <v>19452.885799999996</v>
      </c>
      <c r="E174" s="23"/>
      <c r="F174" s="28" t="s">
        <v>436</v>
      </c>
      <c r="G174" s="20"/>
      <c r="H174" s="24"/>
    </row>
    <row r="175" spans="1:8" ht="30">
      <c r="A175" s="50" t="s">
        <v>306</v>
      </c>
      <c r="B175" s="23"/>
      <c r="C175" s="45" t="s">
        <v>369</v>
      </c>
      <c r="D175" s="49">
        <f>3.44035+1337.2764+27.121+0.93+208.32</f>
        <v>1577.0877500000001</v>
      </c>
      <c r="E175" s="23"/>
      <c r="F175" s="28" t="s">
        <v>436</v>
      </c>
      <c r="G175" s="20"/>
      <c r="H175" s="24"/>
    </row>
    <row r="176" spans="1:8" ht="30">
      <c r="A176" s="50" t="s">
        <v>278</v>
      </c>
      <c r="B176" s="23"/>
      <c r="C176" s="45" t="s">
        <v>370</v>
      </c>
      <c r="D176" s="49">
        <f>3.32296+1084.2228+22.003+0.93</f>
        <v>1110.47876</v>
      </c>
      <c r="E176" s="23"/>
      <c r="F176" s="28" t="s">
        <v>436</v>
      </c>
      <c r="G176" s="20"/>
      <c r="H176" s="24"/>
    </row>
    <row r="177" spans="1:8" ht="30">
      <c r="A177" s="50" t="s">
        <v>279</v>
      </c>
      <c r="B177" s="23"/>
      <c r="C177" s="46" t="s">
        <v>371</v>
      </c>
      <c r="D177" s="49">
        <f>2.06+618.282+12.546+0.93</f>
        <v>633.818</v>
      </c>
      <c r="E177" s="23"/>
      <c r="F177" s="28" t="s">
        <v>436</v>
      </c>
      <c r="G177" s="20"/>
      <c r="H177" s="24"/>
    </row>
    <row r="178" spans="1:8" ht="15">
      <c r="A178" s="50" t="s">
        <v>280</v>
      </c>
      <c r="B178" s="23"/>
      <c r="C178" s="46" t="s">
        <v>372</v>
      </c>
      <c r="D178" s="49">
        <f>3.30659+1095.9132+22.151+0.93</f>
        <v>1122.30079</v>
      </c>
      <c r="E178" s="23"/>
      <c r="F178" s="28" t="s">
        <v>436</v>
      </c>
      <c r="G178" s="20"/>
      <c r="H178" s="24"/>
    </row>
    <row r="179" spans="1:8" ht="15">
      <c r="A179" s="50" t="s">
        <v>281</v>
      </c>
      <c r="B179" s="23"/>
      <c r="C179" s="46" t="s">
        <v>355</v>
      </c>
      <c r="D179" s="49">
        <f>3.34064+1025.5716+20.801+0.93</f>
        <v>1050.6432399999999</v>
      </c>
      <c r="E179" s="23"/>
      <c r="F179" s="28" t="s">
        <v>436</v>
      </c>
      <c r="G179" s="20"/>
      <c r="H179" s="24"/>
    </row>
    <row r="180" spans="1:8" ht="30">
      <c r="A180" s="50" t="s">
        <v>282</v>
      </c>
      <c r="B180" s="23"/>
      <c r="C180" s="46" t="s">
        <v>371</v>
      </c>
      <c r="D180" s="49">
        <f>3.38406+865.5528+17.556+0.93</f>
        <v>887.42286</v>
      </c>
      <c r="E180" s="23"/>
      <c r="F180" s="28" t="s">
        <v>436</v>
      </c>
      <c r="G180" s="20"/>
      <c r="H180" s="24"/>
    </row>
    <row r="181" spans="1:8" s="66" customFormat="1" ht="30">
      <c r="A181" s="50" t="s">
        <v>308</v>
      </c>
      <c r="B181" s="63"/>
      <c r="C181" s="46" t="s">
        <v>373</v>
      </c>
      <c r="D181" s="49">
        <f>1.86+1.4988+0.93+1111.6068+22.514+1115.04</f>
        <v>2253.4496</v>
      </c>
      <c r="E181" s="63"/>
      <c r="F181" s="28" t="s">
        <v>436</v>
      </c>
      <c r="G181" s="64"/>
      <c r="H181" s="65"/>
    </row>
    <row r="182" spans="1:8" ht="30">
      <c r="A182" s="53" t="s">
        <v>283</v>
      </c>
      <c r="B182" s="23"/>
      <c r="C182" s="45" t="s">
        <v>207</v>
      </c>
      <c r="D182" s="49">
        <f>1.116+2.556+711.07322+14.39965</f>
        <v>729.14487</v>
      </c>
      <c r="E182" s="23"/>
      <c r="F182" s="28" t="s">
        <v>437</v>
      </c>
      <c r="G182" s="20"/>
      <c r="H182" s="24"/>
    </row>
    <row r="183" spans="1:8" ht="30">
      <c r="A183" s="50" t="s">
        <v>284</v>
      </c>
      <c r="B183" s="23"/>
      <c r="C183" s="45" t="s">
        <v>374</v>
      </c>
      <c r="D183" s="56">
        <f>2.232+1.446+1.116+1197.33228+24.24342</f>
        <v>1226.3697000000002</v>
      </c>
      <c r="E183" s="23"/>
      <c r="F183" s="28" t="s">
        <v>437</v>
      </c>
      <c r="G183" s="20"/>
      <c r="H183" s="24"/>
    </row>
    <row r="184" spans="1:8" ht="30">
      <c r="A184" s="50" t="s">
        <v>285</v>
      </c>
      <c r="B184" s="23"/>
      <c r="C184" s="46" t="s">
        <v>375</v>
      </c>
      <c r="D184" s="49">
        <f>847.1568+30</f>
        <v>877.1568</v>
      </c>
      <c r="E184" s="23"/>
      <c r="F184" s="28" t="s">
        <v>436</v>
      </c>
      <c r="G184" s="20"/>
      <c r="H184" s="24"/>
    </row>
    <row r="185" spans="1:8" ht="30">
      <c r="A185" s="53" t="s">
        <v>286</v>
      </c>
      <c r="B185" s="23"/>
      <c r="C185" s="48" t="s">
        <v>376</v>
      </c>
      <c r="D185" s="56">
        <f>2.13+1.203+0.93+731.27354+14.81541</f>
        <v>750.3519500000001</v>
      </c>
      <c r="E185" s="23"/>
      <c r="F185" s="28" t="s">
        <v>437</v>
      </c>
      <c r="G185" s="20"/>
      <c r="H185" s="24"/>
    </row>
    <row r="186" spans="1:8" ht="15">
      <c r="A186" s="53" t="s">
        <v>287</v>
      </c>
      <c r="B186" s="23"/>
      <c r="C186" s="48" t="s">
        <v>377</v>
      </c>
      <c r="D186" s="56">
        <f>1.86+0.93+259.4364+5.262</f>
        <v>267.4884</v>
      </c>
      <c r="E186" s="23"/>
      <c r="F186" s="28" t="s">
        <v>436</v>
      </c>
      <c r="G186" s="20"/>
      <c r="H186" s="24"/>
    </row>
    <row r="187" spans="1:8" s="66" customFormat="1" ht="30">
      <c r="A187" s="53" t="s">
        <v>288</v>
      </c>
      <c r="B187" s="63"/>
      <c r="C187" s="46" t="s">
        <v>378</v>
      </c>
      <c r="D187" s="49">
        <f>1.86+1.08821+0.93+495.93616+10.04519</f>
        <v>509.85956</v>
      </c>
      <c r="E187" s="63"/>
      <c r="F187" s="28" t="s">
        <v>437</v>
      </c>
      <c r="G187" s="64"/>
      <c r="H187" s="65"/>
    </row>
    <row r="188" spans="1:8" ht="30">
      <c r="A188" s="50" t="s">
        <v>289</v>
      </c>
      <c r="B188" s="23"/>
      <c r="C188" s="46" t="s">
        <v>379</v>
      </c>
      <c r="D188" s="49">
        <f>1.86+1.4832+0.93+898.7052+18.235</f>
        <v>921.2134</v>
      </c>
      <c r="E188" s="23"/>
      <c r="F188" s="28" t="s">
        <v>436</v>
      </c>
      <c r="G188" s="20"/>
      <c r="H188" s="24"/>
    </row>
    <row r="189" spans="1:8" ht="30">
      <c r="A189" s="53" t="s">
        <v>290</v>
      </c>
      <c r="B189" s="23"/>
      <c r="C189" s="46" t="s">
        <v>380</v>
      </c>
      <c r="D189" s="49">
        <f>1.86+1.8804+0.93+1162.77+23.564</f>
        <v>1191.0044</v>
      </c>
      <c r="E189" s="23"/>
      <c r="F189" s="28" t="s">
        <v>436</v>
      </c>
      <c r="G189" s="20"/>
      <c r="H189" s="24"/>
    </row>
    <row r="190" spans="1:8" s="66" customFormat="1" ht="30">
      <c r="A190" s="50" t="s">
        <v>307</v>
      </c>
      <c r="B190" s="63"/>
      <c r="C190" s="46" t="s">
        <v>381</v>
      </c>
      <c r="D190" s="49">
        <f>1.86+1.518+0.93+920.022+18.606+1032.36+934.72</f>
        <v>2910.0159999999996</v>
      </c>
      <c r="E190" s="63"/>
      <c r="F190" s="28" t="s">
        <v>436</v>
      </c>
      <c r="G190" s="64"/>
      <c r="H190" s="65"/>
    </row>
    <row r="191" spans="1:8" ht="30">
      <c r="A191" s="50" t="s">
        <v>291</v>
      </c>
      <c r="B191" s="63"/>
      <c r="C191" s="46" t="s">
        <v>382</v>
      </c>
      <c r="D191" s="49">
        <f>3.72+1.7208+1.86+1819.3776+36.914</f>
        <v>1863.5924</v>
      </c>
      <c r="E191" s="63"/>
      <c r="F191" s="28" t="s">
        <v>436</v>
      </c>
      <c r="G191" s="20"/>
      <c r="H191" s="24"/>
    </row>
    <row r="192" spans="1:8" ht="45">
      <c r="A192" s="50" t="s">
        <v>292</v>
      </c>
      <c r="B192" s="63"/>
      <c r="C192" s="46" t="s">
        <v>383</v>
      </c>
      <c r="D192" s="49">
        <f>1.86+1.7184+0.93+1929.2808+39.149</f>
        <v>1972.9382</v>
      </c>
      <c r="E192" s="23"/>
      <c r="F192" s="28" t="s">
        <v>436</v>
      </c>
      <c r="G192" s="20"/>
      <c r="H192" s="24"/>
    </row>
    <row r="193" spans="1:8" ht="45">
      <c r="A193" s="53" t="s">
        <v>293</v>
      </c>
      <c r="B193" s="63"/>
      <c r="C193" s="47" t="s">
        <v>384</v>
      </c>
      <c r="D193" s="56">
        <f>1.86+1.3692+0.93+1940.868+39.386</f>
        <v>1984.4132</v>
      </c>
      <c r="E193" s="23"/>
      <c r="F193" s="28" t="s">
        <v>436</v>
      </c>
      <c r="G193" s="20"/>
      <c r="H193" s="24"/>
    </row>
    <row r="194" spans="1:8" ht="30">
      <c r="A194" s="53" t="s">
        <v>294</v>
      </c>
      <c r="B194" s="63"/>
      <c r="C194" s="47" t="s">
        <v>385</v>
      </c>
      <c r="D194" s="56">
        <f>1.86+1.308+0.93+1267.8228+25.692</f>
        <v>1297.6127999999999</v>
      </c>
      <c r="E194" s="23"/>
      <c r="F194" s="28" t="s">
        <v>436</v>
      </c>
      <c r="G194" s="20"/>
      <c r="H194" s="24"/>
    </row>
    <row r="195" spans="1:8" ht="30">
      <c r="A195" s="53" t="s">
        <v>311</v>
      </c>
      <c r="B195" s="63"/>
      <c r="C195" s="46" t="s">
        <v>386</v>
      </c>
      <c r="D195" s="49">
        <f>1.86+1.69181+0.93+960.3372+19.473+897.97+1041.29</f>
        <v>2923.55201</v>
      </c>
      <c r="E195" s="23"/>
      <c r="F195" s="28" t="s">
        <v>436</v>
      </c>
      <c r="G195" s="20"/>
      <c r="H195" s="24"/>
    </row>
    <row r="196" spans="1:8" ht="15">
      <c r="A196" s="53" t="s">
        <v>295</v>
      </c>
      <c r="B196" s="23"/>
      <c r="C196" s="46" t="s">
        <v>387</v>
      </c>
      <c r="D196" s="49">
        <f>1.86+1.4772+0.93+870.4128+17.663</f>
        <v>892.343</v>
      </c>
      <c r="E196" s="23"/>
      <c r="F196" s="28" t="s">
        <v>436</v>
      </c>
      <c r="G196" s="20"/>
      <c r="H196" s="24"/>
    </row>
    <row r="197" spans="1:8" ht="30">
      <c r="A197" s="50" t="s">
        <v>296</v>
      </c>
      <c r="B197" s="23"/>
      <c r="C197" s="45" t="s">
        <v>388</v>
      </c>
      <c r="D197" s="49">
        <f>2.232+1.4004+1.116+679.60074+13.69255</f>
        <v>698.0416899999999</v>
      </c>
      <c r="E197" s="23"/>
      <c r="F197" s="28" t="s">
        <v>437</v>
      </c>
      <c r="G197" s="20"/>
      <c r="H197" s="24"/>
    </row>
    <row r="198" spans="1:8" ht="30">
      <c r="A198" s="50" t="s">
        <v>419</v>
      </c>
      <c r="B198" s="23"/>
      <c r="C198" s="45"/>
      <c r="D198" s="49">
        <v>128</v>
      </c>
      <c r="E198" s="23"/>
      <c r="F198" s="89" t="s">
        <v>451</v>
      </c>
      <c r="G198" s="20"/>
      <c r="H198" s="24"/>
    </row>
    <row r="199" spans="1:8" ht="30">
      <c r="A199" s="50" t="s">
        <v>420</v>
      </c>
      <c r="B199" s="23"/>
      <c r="C199" s="45"/>
      <c r="D199" s="49">
        <v>6</v>
      </c>
      <c r="E199" s="23"/>
      <c r="F199" s="28" t="s">
        <v>453</v>
      </c>
      <c r="G199" s="20"/>
      <c r="H199" s="24"/>
    </row>
    <row r="200" spans="1:8" ht="30">
      <c r="A200" s="50" t="s">
        <v>421</v>
      </c>
      <c r="B200" s="23"/>
      <c r="C200" s="45"/>
      <c r="D200" s="49">
        <v>6</v>
      </c>
      <c r="E200" s="23"/>
      <c r="F200" s="28" t="s">
        <v>453</v>
      </c>
      <c r="G200" s="20"/>
      <c r="H200" s="24"/>
    </row>
    <row r="201" spans="1:8" ht="30">
      <c r="A201" s="50" t="s">
        <v>297</v>
      </c>
      <c r="B201" s="63"/>
      <c r="C201" s="46"/>
      <c r="D201" s="49">
        <f>7.97338+8.09657+9.1027+7.96511+8.00712+7.85258</f>
        <v>48.997460000000004</v>
      </c>
      <c r="E201" s="23"/>
      <c r="F201" s="28" t="s">
        <v>450</v>
      </c>
      <c r="G201" s="20"/>
      <c r="H201" s="24"/>
    </row>
    <row r="202" spans="1:8" ht="30">
      <c r="A202" s="50" t="s">
        <v>298</v>
      </c>
      <c r="B202" s="63"/>
      <c r="C202" s="46"/>
      <c r="D202" s="49">
        <v>4</v>
      </c>
      <c r="E202" s="23"/>
      <c r="F202" s="28" t="s">
        <v>450</v>
      </c>
      <c r="G202" s="20"/>
      <c r="H202" s="24"/>
    </row>
    <row r="203" spans="1:8" ht="30">
      <c r="A203" s="50" t="s">
        <v>398</v>
      </c>
      <c r="B203" s="63"/>
      <c r="C203" s="46"/>
      <c r="D203" s="49">
        <v>7.291</v>
      </c>
      <c r="E203" s="23"/>
      <c r="F203" s="28" t="s">
        <v>450</v>
      </c>
      <c r="G203" s="20"/>
      <c r="H203" s="24"/>
    </row>
    <row r="204" spans="1:8" ht="30">
      <c r="A204" s="50" t="s">
        <v>399</v>
      </c>
      <c r="B204" s="63"/>
      <c r="C204" s="46"/>
      <c r="D204" s="49">
        <f>4.09*4</f>
        <v>16.36</v>
      </c>
      <c r="E204" s="23"/>
      <c r="F204" s="28" t="s">
        <v>450</v>
      </c>
      <c r="G204" s="20"/>
      <c r="H204" s="24"/>
    </row>
    <row r="205" spans="1:8" s="66" customFormat="1" ht="30">
      <c r="A205" s="53" t="s">
        <v>310</v>
      </c>
      <c r="B205" s="63"/>
      <c r="C205" s="67"/>
      <c r="D205" s="56">
        <f>2.556+1.51142</f>
        <v>4.06742</v>
      </c>
      <c r="E205" s="63"/>
      <c r="F205" s="28" t="s">
        <v>437</v>
      </c>
      <c r="G205" s="64"/>
      <c r="H205" s="65"/>
    </row>
    <row r="206" spans="1:8" ht="30">
      <c r="A206" s="50" t="s">
        <v>400</v>
      </c>
      <c r="B206" s="63"/>
      <c r="C206" s="46"/>
      <c r="D206" s="49">
        <v>4.09</v>
      </c>
      <c r="E206" s="23"/>
      <c r="F206" s="28" t="s">
        <v>450</v>
      </c>
      <c r="G206" s="20"/>
      <c r="H206" s="24"/>
    </row>
    <row r="207" spans="1:8" s="66" customFormat="1" ht="30">
      <c r="A207" s="53" t="s">
        <v>299</v>
      </c>
      <c r="B207" s="63"/>
      <c r="C207" s="47" t="s">
        <v>389</v>
      </c>
      <c r="D207" s="56">
        <f>1.86+1.5132+0.93+1152.6648+23.391+607.89</f>
        <v>1788.2490000000003</v>
      </c>
      <c r="E207" s="63"/>
      <c r="F207" s="28" t="s">
        <v>436</v>
      </c>
      <c r="G207" s="64"/>
      <c r="H207" s="65"/>
    </row>
    <row r="208" spans="1:8" ht="30">
      <c r="A208" s="53" t="s">
        <v>300</v>
      </c>
      <c r="B208" s="63"/>
      <c r="C208" s="47" t="s">
        <v>390</v>
      </c>
      <c r="D208" s="56">
        <f>2.13+0.7872+1.116+359.81238+7.28681</f>
        <v>371.13239000000004</v>
      </c>
      <c r="E208" s="23"/>
      <c r="F208" s="28" t="s">
        <v>436</v>
      </c>
      <c r="G208" s="20"/>
      <c r="H208" s="24"/>
    </row>
    <row r="209" spans="1:8" s="66" customFormat="1" ht="30">
      <c r="A209" s="53" t="s">
        <v>301</v>
      </c>
      <c r="B209" s="63"/>
      <c r="C209" s="47" t="s">
        <v>391</v>
      </c>
      <c r="D209" s="56">
        <f>2.556+1.33974+1.116+617.90802+12.50756</f>
        <v>635.42732</v>
      </c>
      <c r="E209" s="63"/>
      <c r="F209" s="28" t="s">
        <v>437</v>
      </c>
      <c r="G209" s="64"/>
      <c r="H209" s="65"/>
    </row>
    <row r="210" spans="1:8" ht="30">
      <c r="A210" s="50" t="s">
        <v>302</v>
      </c>
      <c r="B210" s="63"/>
      <c r="C210" s="46" t="s">
        <v>392</v>
      </c>
      <c r="D210" s="49">
        <f>3.72+2.8416+1.86+4010.08032+122.584+1332.41</f>
        <v>5473.49592</v>
      </c>
      <c r="E210" s="23"/>
      <c r="F210" s="28" t="s">
        <v>436</v>
      </c>
      <c r="G210" s="20"/>
      <c r="H210" s="24"/>
    </row>
    <row r="211" spans="1:8" ht="30">
      <c r="A211" s="50" t="s">
        <v>303</v>
      </c>
      <c r="B211" s="23"/>
      <c r="C211" s="45" t="s">
        <v>393</v>
      </c>
      <c r="D211" s="49">
        <f>2.556+1.536+1.116+920.42663+18.63584</f>
        <v>944.27047</v>
      </c>
      <c r="E211" s="23"/>
      <c r="F211" s="28" t="s">
        <v>437</v>
      </c>
      <c r="G211" s="20"/>
      <c r="H211" s="24"/>
    </row>
    <row r="212" spans="1:8" s="66" customFormat="1" ht="30">
      <c r="A212" s="53" t="s">
        <v>304</v>
      </c>
      <c r="B212" s="63"/>
      <c r="C212" s="47" t="s">
        <v>394</v>
      </c>
      <c r="D212" s="56">
        <f>2.052+1.4472+1.026+874.344+17.558</f>
        <v>896.4272000000001</v>
      </c>
      <c r="E212" s="63"/>
      <c r="F212" s="28" t="s">
        <v>436</v>
      </c>
      <c r="G212" s="64"/>
      <c r="H212" s="65"/>
    </row>
    <row r="213" spans="1:8" s="66" customFormat="1" ht="30">
      <c r="A213" s="53" t="s">
        <v>418</v>
      </c>
      <c r="B213" s="63"/>
      <c r="C213" s="47" t="s">
        <v>395</v>
      </c>
      <c r="D213" s="56">
        <v>436.348</v>
      </c>
      <c r="E213" s="63"/>
      <c r="F213" s="28" t="s">
        <v>437</v>
      </c>
      <c r="G213" s="64"/>
      <c r="H213" s="65"/>
    </row>
    <row r="214" spans="1:8" s="66" customFormat="1" ht="30">
      <c r="A214" s="75" t="s">
        <v>337</v>
      </c>
      <c r="B214" s="63"/>
      <c r="C214" s="76" t="s">
        <v>396</v>
      </c>
      <c r="D214" s="77">
        <v>2694.03</v>
      </c>
      <c r="E214" s="63"/>
      <c r="F214" s="28" t="s">
        <v>436</v>
      </c>
      <c r="G214" s="64"/>
      <c r="H214" s="65"/>
    </row>
    <row r="215" spans="1:8" s="66" customFormat="1" ht="45">
      <c r="A215" s="75" t="s">
        <v>312</v>
      </c>
      <c r="B215" s="68"/>
      <c r="C215" s="76" t="s">
        <v>397</v>
      </c>
      <c r="D215" s="77">
        <v>52.7476</v>
      </c>
      <c r="E215" s="63"/>
      <c r="F215" s="28" t="s">
        <v>436</v>
      </c>
      <c r="G215" s="64"/>
      <c r="H215" s="65"/>
    </row>
    <row r="216" spans="1:8" s="66" customFormat="1" ht="30.75" customHeight="1">
      <c r="A216" s="53" t="s">
        <v>336</v>
      </c>
      <c r="B216" s="78"/>
      <c r="C216" s="47">
        <v>3640</v>
      </c>
      <c r="D216" s="56">
        <v>1143.03</v>
      </c>
      <c r="E216" s="63"/>
      <c r="F216" s="28" t="s">
        <v>437</v>
      </c>
      <c r="G216" s="64"/>
      <c r="H216" s="65"/>
    </row>
    <row r="217" spans="1:8" ht="15">
      <c r="A217" s="41" t="s">
        <v>102</v>
      </c>
      <c r="B217" s="23"/>
      <c r="C217" s="42" t="s">
        <v>422</v>
      </c>
      <c r="D217" s="42">
        <v>10673.184</v>
      </c>
      <c r="E217" s="23"/>
      <c r="F217" s="23"/>
      <c r="G217" s="20"/>
      <c r="H217" s="24"/>
    </row>
    <row r="218" spans="1:11" ht="15">
      <c r="A218" s="79" t="s">
        <v>313</v>
      </c>
      <c r="B218" s="80"/>
      <c r="C218" s="71" t="s">
        <v>214</v>
      </c>
      <c r="D218" s="81">
        <v>395.797</v>
      </c>
      <c r="E218" s="23"/>
      <c r="F218" s="28" t="s">
        <v>440</v>
      </c>
      <c r="G218" s="20"/>
      <c r="H218" s="24"/>
      <c r="K218" s="87">
        <f>D217+'Місцевий бюджет'!J218:O218</f>
        <v>0</v>
      </c>
    </row>
    <row r="219" spans="1:8" ht="45">
      <c r="A219" s="79" t="s">
        <v>415</v>
      </c>
      <c r="B219" s="80"/>
      <c r="C219" s="69" t="s">
        <v>338</v>
      </c>
      <c r="D219" s="82">
        <f>2.565+1.2312+1.026+350.54866+7.07297</f>
        <v>362.44383</v>
      </c>
      <c r="E219" s="23"/>
      <c r="F219" s="28" t="s">
        <v>452</v>
      </c>
      <c r="G219" s="20"/>
      <c r="H219" s="24"/>
    </row>
    <row r="220" spans="1:8" ht="45">
      <c r="A220" s="79" t="s">
        <v>416</v>
      </c>
      <c r="B220" s="80"/>
      <c r="C220" s="70" t="s">
        <v>339</v>
      </c>
      <c r="D220" s="81">
        <f>2.4+0.93+98.96408+1.98058+117.20917+2.37843</f>
        <v>223.86226000000002</v>
      </c>
      <c r="E220" s="23"/>
      <c r="F220" s="28" t="s">
        <v>452</v>
      </c>
      <c r="G220" s="20"/>
      <c r="H220" s="24"/>
    </row>
    <row r="221" spans="1:8" ht="45">
      <c r="A221" s="79" t="s">
        <v>417</v>
      </c>
      <c r="B221" s="80"/>
      <c r="C221" s="70" t="s">
        <v>340</v>
      </c>
      <c r="D221" s="81">
        <f>2.565+1.3296+1.026+735.9561+14.83331</f>
        <v>755.71001</v>
      </c>
      <c r="E221" s="23"/>
      <c r="F221" s="28" t="s">
        <v>452</v>
      </c>
      <c r="G221" s="20"/>
      <c r="H221" s="24"/>
    </row>
    <row r="222" spans="1:8" ht="15">
      <c r="A222" s="79" t="s">
        <v>314</v>
      </c>
      <c r="B222" s="80"/>
      <c r="C222" s="71" t="s">
        <v>341</v>
      </c>
      <c r="D222" s="81">
        <f>254.5044+5.012</f>
        <v>259.5164</v>
      </c>
      <c r="E222" s="23"/>
      <c r="F222" s="28" t="s">
        <v>440</v>
      </c>
      <c r="G222" s="20"/>
      <c r="H222" s="24"/>
    </row>
    <row r="223" spans="1:8" ht="30">
      <c r="A223" s="79" t="s">
        <v>315</v>
      </c>
      <c r="B223" s="80"/>
      <c r="C223" s="71" t="s">
        <v>342</v>
      </c>
      <c r="D223" s="81">
        <f>153.19939+3.09225</f>
        <v>156.29164</v>
      </c>
      <c r="E223" s="23"/>
      <c r="F223" s="28" t="s">
        <v>437</v>
      </c>
      <c r="G223" s="20"/>
      <c r="H223" s="24"/>
    </row>
    <row r="224" spans="1:8" ht="30">
      <c r="A224" s="79" t="s">
        <v>316</v>
      </c>
      <c r="B224" s="80"/>
      <c r="C224" s="71" t="s">
        <v>343</v>
      </c>
      <c r="D224" s="81">
        <f>151.56293+3.06052</f>
        <v>154.62345</v>
      </c>
      <c r="E224" s="23"/>
      <c r="F224" s="28" t="s">
        <v>437</v>
      </c>
      <c r="G224" s="20"/>
      <c r="H224" s="24"/>
    </row>
    <row r="225" spans="1:8" ht="30">
      <c r="A225" s="79" t="s">
        <v>317</v>
      </c>
      <c r="B225" s="80"/>
      <c r="C225" s="70" t="s">
        <v>344</v>
      </c>
      <c r="D225" s="81">
        <f>3.3582+901.0488+18.177</f>
        <v>922.5840000000001</v>
      </c>
      <c r="E225" s="23"/>
      <c r="F225" s="28" t="s">
        <v>436</v>
      </c>
      <c r="G225" s="20"/>
      <c r="H225" s="24"/>
    </row>
    <row r="226" spans="1:8" ht="15">
      <c r="A226" s="79" t="s">
        <v>318</v>
      </c>
      <c r="B226" s="80"/>
      <c r="C226" s="70" t="s">
        <v>345</v>
      </c>
      <c r="D226" s="81">
        <v>632.696</v>
      </c>
      <c r="E226" s="23"/>
      <c r="F226" s="28" t="s">
        <v>440</v>
      </c>
      <c r="G226" s="20"/>
      <c r="H226" s="24"/>
    </row>
    <row r="227" spans="1:8" ht="15">
      <c r="A227" s="83" t="s">
        <v>319</v>
      </c>
      <c r="B227" s="80"/>
      <c r="C227" s="70" t="s">
        <v>346</v>
      </c>
      <c r="D227" s="81">
        <f>244.5984+4.947</f>
        <v>249.5454</v>
      </c>
      <c r="E227" s="23"/>
      <c r="F227" s="28" t="s">
        <v>436</v>
      </c>
      <c r="G227" s="20"/>
      <c r="H227" s="24"/>
    </row>
    <row r="228" spans="1:8" ht="45">
      <c r="A228" s="79" t="s">
        <v>320</v>
      </c>
      <c r="B228" s="80"/>
      <c r="C228" s="70" t="s">
        <v>203</v>
      </c>
      <c r="D228" s="81">
        <f>1.9782+0.93+1077.20264+21.90312+110.00352+2.23674</f>
        <v>1214.25422</v>
      </c>
      <c r="E228" s="23"/>
      <c r="F228" s="28" t="s">
        <v>452</v>
      </c>
      <c r="G228" s="20"/>
      <c r="H228" s="24"/>
    </row>
    <row r="229" spans="1:8" ht="15">
      <c r="A229" s="83" t="s">
        <v>321</v>
      </c>
      <c r="B229" s="80"/>
      <c r="C229" s="70" t="s">
        <v>347</v>
      </c>
      <c r="D229" s="81">
        <f>2.052+1.5612+1.026+959.64+19.424</f>
        <v>983.7031999999999</v>
      </c>
      <c r="E229" s="23"/>
      <c r="F229" s="28" t="s">
        <v>436</v>
      </c>
      <c r="G229" s="20"/>
      <c r="H229" s="24"/>
    </row>
    <row r="230" spans="1:8" ht="45">
      <c r="A230" s="79" t="s">
        <v>322</v>
      </c>
      <c r="B230" s="80"/>
      <c r="C230" s="70" t="s">
        <v>348</v>
      </c>
      <c r="D230" s="81">
        <f>2.4+1.2312+0.93+323.5966+6.52231+332.67095+6.75004</f>
        <v>674.1011</v>
      </c>
      <c r="E230" s="23"/>
      <c r="F230" s="28" t="s">
        <v>452</v>
      </c>
      <c r="G230" s="20"/>
      <c r="H230" s="24"/>
    </row>
    <row r="231" spans="1:8" ht="45">
      <c r="A231" s="79" t="s">
        <v>323</v>
      </c>
      <c r="B231" s="80"/>
      <c r="C231" s="70" t="s">
        <v>349</v>
      </c>
      <c r="D231" s="81">
        <v>1354.546</v>
      </c>
      <c r="E231" s="23"/>
      <c r="F231" s="28" t="s">
        <v>452</v>
      </c>
      <c r="G231" s="20"/>
      <c r="H231" s="24"/>
    </row>
    <row r="232" spans="1:8" ht="15">
      <c r="A232" s="79" t="s">
        <v>324</v>
      </c>
      <c r="B232" s="80"/>
      <c r="C232" s="71" t="s">
        <v>350</v>
      </c>
      <c r="D232" s="81">
        <f>2.052+1.92144+1.026+1215.654+24.547</f>
        <v>1245.20044</v>
      </c>
      <c r="E232" s="23"/>
      <c r="F232" s="28" t="s">
        <v>436</v>
      </c>
      <c r="G232" s="20"/>
      <c r="H232" s="24"/>
    </row>
    <row r="233" spans="1:8" ht="75">
      <c r="A233" s="79" t="s">
        <v>325</v>
      </c>
      <c r="B233" s="80"/>
      <c r="C233" s="70" t="s">
        <v>351</v>
      </c>
      <c r="D233" s="72">
        <f>182.84775</f>
        <v>182.84775</v>
      </c>
      <c r="E233" s="23"/>
      <c r="F233" s="28" t="s">
        <v>455</v>
      </c>
      <c r="G233" s="20"/>
      <c r="H233" s="24"/>
    </row>
    <row r="234" spans="1:8" ht="60">
      <c r="A234" s="79" t="s">
        <v>326</v>
      </c>
      <c r="B234" s="80"/>
      <c r="C234" s="70" t="s">
        <v>352</v>
      </c>
      <c r="D234" s="72">
        <f>114.27161</f>
        <v>114.27161</v>
      </c>
      <c r="E234" s="23"/>
      <c r="F234" s="28" t="s">
        <v>455</v>
      </c>
      <c r="G234" s="20"/>
      <c r="H234" s="24"/>
    </row>
    <row r="235" spans="1:8" ht="60">
      <c r="A235" s="79" t="s">
        <v>327</v>
      </c>
      <c r="B235" s="80"/>
      <c r="C235" s="70" t="s">
        <v>353</v>
      </c>
      <c r="D235" s="72">
        <f>118.29033</f>
        <v>118.29033</v>
      </c>
      <c r="E235" s="23"/>
      <c r="F235" s="28" t="s">
        <v>455</v>
      </c>
      <c r="G235" s="20"/>
      <c r="H235" s="24"/>
    </row>
    <row r="236" spans="1:8" ht="60">
      <c r="A236" s="79" t="s">
        <v>328</v>
      </c>
      <c r="B236" s="80"/>
      <c r="C236" s="70" t="s">
        <v>354</v>
      </c>
      <c r="D236" s="72">
        <f>235.89151</f>
        <v>235.89151</v>
      </c>
      <c r="E236" s="23"/>
      <c r="F236" s="28" t="s">
        <v>455</v>
      </c>
      <c r="G236" s="20"/>
      <c r="H236" s="24"/>
    </row>
    <row r="237" spans="1:8" ht="60">
      <c r="A237" s="79" t="s">
        <v>411</v>
      </c>
      <c r="B237" s="80"/>
      <c r="C237" s="70" t="s">
        <v>414</v>
      </c>
      <c r="D237" s="72">
        <f>166.26799</f>
        <v>166.26799</v>
      </c>
      <c r="E237" s="23"/>
      <c r="F237" s="28" t="s">
        <v>455</v>
      </c>
      <c r="G237" s="20"/>
      <c r="H237" s="24"/>
    </row>
    <row r="238" spans="1:8" ht="60">
      <c r="A238" s="79" t="s">
        <v>329</v>
      </c>
      <c r="B238" s="80"/>
      <c r="C238" s="70" t="s">
        <v>355</v>
      </c>
      <c r="D238" s="73">
        <f>27.82534</f>
        <v>27.82534</v>
      </c>
      <c r="E238" s="23"/>
      <c r="F238" s="99" t="s">
        <v>456</v>
      </c>
      <c r="G238" s="20"/>
      <c r="H238" s="24"/>
    </row>
    <row r="239" spans="1:8" ht="60">
      <c r="A239" s="79" t="s">
        <v>330</v>
      </c>
      <c r="B239" s="80"/>
      <c r="C239" s="70" t="s">
        <v>356</v>
      </c>
      <c r="D239" s="72">
        <v>49.5618</v>
      </c>
      <c r="E239" s="23"/>
      <c r="F239" s="28" t="s">
        <v>455</v>
      </c>
      <c r="G239" s="20"/>
      <c r="H239" s="24"/>
    </row>
    <row r="240" spans="1:8" ht="60">
      <c r="A240" s="79" t="s">
        <v>331</v>
      </c>
      <c r="B240" s="80"/>
      <c r="C240" s="70" t="s">
        <v>357</v>
      </c>
      <c r="D240" s="72">
        <v>88.43906</v>
      </c>
      <c r="E240" s="23"/>
      <c r="F240" s="28" t="s">
        <v>455</v>
      </c>
      <c r="G240" s="20"/>
      <c r="H240" s="24"/>
    </row>
    <row r="241" spans="1:8" ht="60">
      <c r="A241" s="79" t="s">
        <v>332</v>
      </c>
      <c r="B241" s="80"/>
      <c r="C241" s="70" t="s">
        <v>358</v>
      </c>
      <c r="D241" s="72">
        <f>57.74249</f>
        <v>57.74249</v>
      </c>
      <c r="E241" s="23"/>
      <c r="F241" s="28" t="s">
        <v>455</v>
      </c>
      <c r="G241" s="20"/>
      <c r="H241" s="24"/>
    </row>
    <row r="242" spans="1:8" ht="60">
      <c r="A242" s="79" t="s">
        <v>333</v>
      </c>
      <c r="B242" s="80"/>
      <c r="C242" s="70" t="s">
        <v>359</v>
      </c>
      <c r="D242" s="72">
        <f>39.24852</f>
        <v>39.24852</v>
      </c>
      <c r="E242" s="23"/>
      <c r="F242" s="28" t="s">
        <v>455</v>
      </c>
      <c r="G242" s="20"/>
      <c r="H242" s="24"/>
    </row>
    <row r="243" spans="1:8" ht="60">
      <c r="A243" s="79" t="s">
        <v>334</v>
      </c>
      <c r="B243" s="80"/>
      <c r="C243" s="70" t="s">
        <v>360</v>
      </c>
      <c r="D243" s="74">
        <v>4.791</v>
      </c>
      <c r="E243" s="23"/>
      <c r="F243" s="28" t="s">
        <v>454</v>
      </c>
      <c r="G243" s="20"/>
      <c r="H243" s="24"/>
    </row>
    <row r="244" spans="1:8" ht="60">
      <c r="A244" s="79" t="s">
        <v>335</v>
      </c>
      <c r="B244" s="80"/>
      <c r="C244" s="70" t="s">
        <v>361</v>
      </c>
      <c r="D244" s="74">
        <v>3.13157</v>
      </c>
      <c r="E244" s="23"/>
      <c r="F244" s="28" t="s">
        <v>454</v>
      </c>
      <c r="G244" s="20"/>
      <c r="H244" s="24"/>
    </row>
    <row r="245" spans="1:8" ht="15">
      <c r="A245" s="79"/>
      <c r="B245" s="80"/>
      <c r="C245" s="70"/>
      <c r="D245" s="74"/>
      <c r="E245" s="23"/>
      <c r="F245" s="23"/>
      <c r="G245" s="20"/>
      <c r="H245" s="24"/>
    </row>
    <row r="246" spans="1:8" ht="15">
      <c r="A246" s="8"/>
      <c r="B246" s="9"/>
      <c r="C246" s="9"/>
      <c r="D246" s="9"/>
      <c r="E246" s="9"/>
      <c r="F246" s="9"/>
      <c r="G246" s="21"/>
      <c r="H246" s="11"/>
    </row>
  </sheetData>
  <sheetProtection/>
  <mergeCells count="15">
    <mergeCell ref="A1:H1"/>
    <mergeCell ref="A2:A3"/>
    <mergeCell ref="B2:B3"/>
    <mergeCell ref="C2:D2"/>
    <mergeCell ref="E2:E3"/>
    <mergeCell ref="G2:G3"/>
    <mergeCell ref="H2:H3"/>
    <mergeCell ref="F2:F3"/>
    <mergeCell ref="H116:H154"/>
    <mergeCell ref="H10:H12"/>
    <mergeCell ref="H13:H15"/>
    <mergeCell ref="H16:H18"/>
    <mergeCell ref="H19:H33"/>
    <mergeCell ref="H35:H39"/>
    <mergeCell ref="H40:H44"/>
  </mergeCells>
  <printOptions/>
  <pageMargins left="0.5118110236220472" right="0.31496062992125984" top="0.5511811023622047" bottom="0.15748031496062992" header="0.31496062992125984" footer="0.31496062992125984"/>
  <pageSetup fitToHeight="19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2017-03-09T16:36:26Z</cp:lastPrinted>
  <dcterms:created xsi:type="dcterms:W3CDTF">2017-01-12T13:26:53Z</dcterms:created>
  <dcterms:modified xsi:type="dcterms:W3CDTF">2017-03-09T16:55:07Z</dcterms:modified>
  <cp:category/>
  <cp:version/>
  <cp:contentType/>
  <cp:contentStatus/>
</cp:coreProperties>
</file>