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7318" activeTab="0"/>
  </bookViews>
  <sheets>
    <sheet name="Лист1" sheetId="1" r:id="rId1"/>
    <sheet name="Лист2" sheetId="2" r:id="rId2"/>
    <sheet name="Лист3" sheetId="3" r:id="rId3"/>
  </sheets>
  <definedNames>
    <definedName name="Z_0C914073_3DA5_48AE_8670_B08D1A7BEC5E_.wvu.FilterData" localSheetId="0" hidden="1">'Лист1'!$A$12:$K$149</definedName>
    <definedName name="Z_0C914073_3DA5_48AE_8670_B08D1A7BEC5E_.wvu.PrintArea" localSheetId="0" hidden="1">'Лист1'!$A$1:$J$150</definedName>
    <definedName name="Z_0C914073_3DA5_48AE_8670_B08D1A7BEC5E_.wvu.PrintTitles" localSheetId="0" hidden="1">'Лист1'!$12:$12</definedName>
    <definedName name="Z_4197AFE1_8703_475C_BD9E_49584FFF0B0F_.wvu.FilterData" localSheetId="0" hidden="1">'Лист1'!$A$12:$K$149</definedName>
    <definedName name="Z_43BBD95A_F67C_4785_AA2B_91EA0E09DDED_.wvu.FilterData" localSheetId="0" hidden="1">'Лист1'!$A$12:$K$149</definedName>
    <definedName name="Z_76F6162E_F2DF_46E3_849A_1628FCD539C6_.wvu.FilterData" localSheetId="0" hidden="1">'Лист1'!$A$12:$K$149</definedName>
    <definedName name="Z_944F2BE2_C40B_4D96_81E3_F7A8B6A02BD5_.wvu.FilterData" localSheetId="0" hidden="1">'Лист1'!$A$12:$K$149</definedName>
    <definedName name="Z_A5FDF010_C08B_4754_ACB5_49ED8CCBC813_.wvu.FilterData" localSheetId="0" hidden="1">'Лист1'!$A$12:$K$149</definedName>
    <definedName name="Z_AA7881A7_6C43_4F84_9C05_AA900347F009_.wvu.FilterData" localSheetId="0" hidden="1">'Лист1'!$A$12:$K$149</definedName>
    <definedName name="Z_C6D39D6D_7CDC_41FF_A3FA_8A7AB563D362_.wvu.FilterData" localSheetId="0" hidden="1">'Лист1'!$A$12:$K$149</definedName>
    <definedName name="Z_CB809395_901E_49F3_A8CF_FD1CAB425BE9_.wvu.FilterData" localSheetId="0" hidden="1">'Лист1'!$A$12:$K$149</definedName>
    <definedName name="Z_CB809395_901E_49F3_A8CF_FD1CAB425BE9_.wvu.PrintArea" localSheetId="0" hidden="1">'Лист1'!$A$1:$J$150</definedName>
    <definedName name="Z_CB809395_901E_49F3_A8CF_FD1CAB425BE9_.wvu.PrintTitles" localSheetId="0" hidden="1">'Лист1'!$12:$12</definedName>
    <definedName name="_xlnm.Print_Titles" localSheetId="0">'Лист1'!$12:$12</definedName>
    <definedName name="_xlnm.Print_Area" localSheetId="0">'Лист1'!$A$1:$J$150</definedName>
  </definedNames>
  <calcPr fullCalcOnLoad="1" refMode="R1C1"/>
</workbook>
</file>

<file path=xl/sharedStrings.xml><?xml version="1.0" encoding="utf-8"?>
<sst xmlns="http://schemas.openxmlformats.org/spreadsheetml/2006/main" count="770" uniqueCount="260">
  <si>
    <t>РОЗПОДІЛ </t>
  </si>
  <si>
    <t>×</t>
  </si>
  <si>
    <t>УСЬОГО</t>
  </si>
  <si>
    <t xml:space="preserve">Найменування 
головного розпорядника 
коштів місцевого бюджету/ 
відповідального виконавця, 
найменування бюджетної програми згідно з Типовою програмною класифікацією видатків та кредитування місцевих бюджетів
</t>
  </si>
  <si>
    <t xml:space="preserve">до рішення  міської ради </t>
  </si>
  <si>
    <t xml:space="preserve">від _________ </t>
  </si>
  <si>
    <t>№__________</t>
  </si>
  <si>
    <t>0600000</t>
  </si>
  <si>
    <t>Управління освіти Миколаївської міської ради</t>
  </si>
  <si>
    <t>0610000</t>
  </si>
  <si>
    <t>0617321</t>
  </si>
  <si>
    <t>7321</t>
  </si>
  <si>
    <t>0443</t>
  </si>
  <si>
    <t>Будівництво освітніх установ та закладів</t>
  </si>
  <si>
    <t>7322</t>
  </si>
  <si>
    <t>Будівництво медичних установ та закладів</t>
  </si>
  <si>
    <t>1200000</t>
  </si>
  <si>
    <t>Департамент житлово-комунального господарства Миколаївської міської ради</t>
  </si>
  <si>
    <t>1210000</t>
  </si>
  <si>
    <t>1217310</t>
  </si>
  <si>
    <t>7310</t>
  </si>
  <si>
    <t>Будівництво об'єктів житлово-комунального господарства</t>
  </si>
  <si>
    <t>1300000</t>
  </si>
  <si>
    <t>Департамент енергетики, енергозбереження та запровадження інноваційних технологій Миколаївської міської ради</t>
  </si>
  <si>
    <t>1310000</t>
  </si>
  <si>
    <t>1317321</t>
  </si>
  <si>
    <t>Реконструкція з термосанацією будівлі Миколаївської загальноосвітньої школи I-III ступенів № 29 за адресою: м.Миколаїв, вул. Гетьмана Сагайдачного (Ватутіна),124, в т.ч. проектно-вишукувальні роботи та експертиза</t>
  </si>
  <si>
    <t xml:space="preserve">Реконструкція з термосанацією будівлі Миколаївської загальноосвітньої школи I-III ступенів №45 за адресою: м.Миколаїв, вул. 4 Поздовжня, 58, в т.ч. проектно - вишукувальні роботи та експертиза </t>
  </si>
  <si>
    <t>1500000</t>
  </si>
  <si>
    <t>Управління капітального будівництва Миколаївської міської ради</t>
  </si>
  <si>
    <t>1510000</t>
  </si>
  <si>
    <t>1517310</t>
  </si>
  <si>
    <t>1517321</t>
  </si>
  <si>
    <t>1517330</t>
  </si>
  <si>
    <t>7330</t>
  </si>
  <si>
    <t>4000000</t>
  </si>
  <si>
    <t>Адміністрація Заводського району Миколаївської міської ради</t>
  </si>
  <si>
    <t>4010000</t>
  </si>
  <si>
    <t>4017310</t>
  </si>
  <si>
    <t>1517322</t>
  </si>
  <si>
    <t xml:space="preserve">Реконструкція з термосанацією будівлі дошкільного навчального закладу № 123 за адресою: м. Миколаїв, вул. Радісна, 4, в т.ч. проектно-вишукувальні роботи та експертиза </t>
  </si>
  <si>
    <t>(2018-2020)</t>
  </si>
  <si>
    <t>(2016-2020)</t>
  </si>
  <si>
    <t>(2017-2020)</t>
  </si>
  <si>
    <t>(2018-2021)</t>
  </si>
  <si>
    <t>(2019-2020)</t>
  </si>
  <si>
    <t>Реконструкція в частині термосанації  будівлі дошкільного навчального закладу № 144 за адресою: м.Миколаїв,  вул. Океанівська, 42, в т.ч. проектно-вишукувальні роботи та експертиза</t>
  </si>
  <si>
    <t>Реконструкція з термосанацією будівлі Миколаївської загальноосвітньої школи І-ІІІ ступенів №14 за адресою: м. Миколаїв,  вул. Вільна (Свободна), 38, в т.ч. проектно-вишукувальні роботи та експертиза</t>
  </si>
  <si>
    <t xml:space="preserve">Реконструкція в частині термосанації будівлі  «Дитячий будинок сімейного типу» за адресою: м.Миколаїв, вул. Надпрудна, 15, в т.ч. проектно-вишукувальні роботи та експертиза </t>
  </si>
  <si>
    <t>Будівництво споруд, установ та закладів фізичної культури і спорту</t>
  </si>
  <si>
    <t>7325</t>
  </si>
  <si>
    <t>Додаток 6</t>
  </si>
  <si>
    <t>1000000</t>
  </si>
  <si>
    <t>Управління з питань культури та охорони культурної спадщини Миколаївської міської ради</t>
  </si>
  <si>
    <t>1010000</t>
  </si>
  <si>
    <t>1017324</t>
  </si>
  <si>
    <t>7324</t>
  </si>
  <si>
    <t>Будівництво установ та закладів культури</t>
  </si>
  <si>
    <t>Реконструкція з термосанацією будівлі дошкільного навчального закладу №106 за адресою: м. Миколаїв, пр.Богоявленський, 297, в т.ч. проектно - вишукувальні роботи та експертиза</t>
  </si>
  <si>
    <t>Будівництво інших об'єктів комунальної власності</t>
  </si>
  <si>
    <t>Нове будівництво світлофорного об'єкту в м.Миколаєві по вул. Троїцькій ріг вул.Новозаводської, у тому числі коригування та експертиза проектно-кошторисної документації</t>
  </si>
  <si>
    <t>Реконструкція  в частині термосанації  будівлі Миколаївської загальноосвітньої школи I-III  ступенів № 23 за адресою: м.Миколаїв, вул.Гарнізонна, 10, в т.ч. проектно-вишукувальні роботи та експертиза</t>
  </si>
  <si>
    <t>(2018-2022)</t>
  </si>
  <si>
    <t>(2017-2021)</t>
  </si>
  <si>
    <t>Нове будівництво світлофорного об’єкту на перехресті вул. 1 Лінія та пр. Миру у м.Миколаєві, у тому числі проектні роботи та експертиза</t>
  </si>
  <si>
    <t>1517340</t>
  </si>
  <si>
    <t>7340</t>
  </si>
  <si>
    <t>Проектування, реставрація та охорона пам'яток архітектури</t>
  </si>
  <si>
    <t>(2015-2020)</t>
  </si>
  <si>
    <t>1100000</t>
  </si>
  <si>
    <t>Управління у справах фізичної культури і спорту Миколаївської міської ради</t>
  </si>
  <si>
    <t>1110000</t>
  </si>
  <si>
    <t>1117325</t>
  </si>
  <si>
    <t>Реконструкція покрівлі ЗОШ №40 по вул.Металургів, 97/1 у м.Миколаєві, у т.ч. проектно-вишукувальні роботи та експертиза</t>
  </si>
  <si>
    <t>1517324</t>
  </si>
  <si>
    <t>Реконструкція будівлі дитячої музичної школи №5 по вул.Дачна, 50 в м.Миколаєві, в т.ч. проектно-вишукувальні роботи та експертиза</t>
  </si>
  <si>
    <r>
      <t>Код  </t>
    </r>
    <r>
      <rPr>
        <b/>
        <sz val="9"/>
        <rFont val="Times New Roman"/>
        <family val="1"/>
      </rPr>
      <t>Функціональної</t>
    </r>
    <r>
      <rPr>
        <b/>
        <sz val="11"/>
        <rFont val="Times New Roman"/>
        <family val="1"/>
      </rPr>
      <t xml:space="preserve"> класифікації видатків та кредитування бюджету</t>
    </r>
  </si>
  <si>
    <t xml:space="preserve">        (код бюджету)</t>
  </si>
  <si>
    <r>
      <t>Код </t>
    </r>
    <r>
      <rPr>
        <b/>
        <sz val="10"/>
        <rFont val="Times New Roman"/>
        <family val="1"/>
      </rPr>
      <t xml:space="preserve">Програмної </t>
    </r>
    <r>
      <rPr>
        <b/>
        <sz val="11"/>
        <rFont val="Times New Roman"/>
        <family val="1"/>
      </rPr>
      <t>класифікації видатків та кредитування місцевого бюджету</t>
    </r>
  </si>
  <si>
    <r>
      <t xml:space="preserve">Код Типової програмної класифікації видатків та </t>
    </r>
    <r>
      <rPr>
        <b/>
        <sz val="10"/>
        <rFont val="Times New Roman"/>
        <family val="1"/>
      </rPr>
      <t>кредитування</t>
    </r>
    <r>
      <rPr>
        <b/>
        <sz val="11"/>
        <rFont val="Times New Roman"/>
        <family val="1"/>
      </rPr>
      <t xml:space="preserve"> місцевого бюджету</t>
    </r>
  </si>
  <si>
    <t>Найменування об'єкта будівництва/вид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</si>
  <si>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</si>
  <si>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</si>
  <si>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</si>
  <si>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</si>
  <si>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</si>
  <si>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2020</t>
  </si>
  <si>
    <t>Нове будівництво самополивної мережі каналізації по вул.Кузнецькій від вул.5 Слобідської до вул.6 Слобідської у м.Миколаєві, у тому числі передпроектні, проектні роботи та експертиза</t>
  </si>
  <si>
    <t>(2020-2022)</t>
  </si>
  <si>
    <t>(2019-2021)</t>
  </si>
  <si>
    <t>4100000</t>
  </si>
  <si>
    <t>4110000</t>
  </si>
  <si>
    <t>Адміністрація Корабельного району Миколаївської міської ради</t>
  </si>
  <si>
    <t>4200000</t>
  </si>
  <si>
    <t>4210000</t>
  </si>
  <si>
    <t>Адміністрація Інгульського району Миколаївської міської ради</t>
  </si>
  <si>
    <t>Адміністрація Центрального району Миколаївської міської ради</t>
  </si>
  <si>
    <t>4300000</t>
  </si>
  <si>
    <t>4310000</t>
  </si>
  <si>
    <t>Нове будівництво вуличної мережі каналізації від будинку № 155 по вулиці 3 Слобідській до перехрестя з вул. Заводська у Заводському районі м.Миколаєва, у тому числі передпроектні, проектні роботи та експертиза</t>
  </si>
  <si>
    <t>1216011</t>
  </si>
  <si>
    <t>6011</t>
  </si>
  <si>
    <t>0620</t>
  </si>
  <si>
    <t>Експлуатація та технічне обслуговування житлового фонду</t>
  </si>
  <si>
    <t>1216016</t>
  </si>
  <si>
    <t>6016</t>
  </si>
  <si>
    <t>Впровадження засобів обліку витрат та регулювання споживання води та теплової енергії</t>
  </si>
  <si>
    <t>6030</t>
  </si>
  <si>
    <t>Організація благоустрою населених пунктів</t>
  </si>
  <si>
    <t>1216030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</si>
  <si>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</si>
  <si>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</si>
  <si>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</si>
  <si>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</si>
  <si>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1317640</t>
  </si>
  <si>
    <t>7640</t>
  </si>
  <si>
    <t>0470</t>
  </si>
  <si>
    <t>Заходи з енергозбереження</t>
  </si>
  <si>
    <t>4016011</t>
  </si>
  <si>
    <t>4016030</t>
  </si>
  <si>
    <t>4017461</t>
  </si>
  <si>
    <t>4116011</t>
  </si>
  <si>
    <t>4116020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</si>
  <si>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</si>
  <si>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</si>
  <si>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4116030</t>
  </si>
  <si>
    <t>4117461</t>
  </si>
  <si>
    <t>4216011</t>
  </si>
  <si>
    <t>4216030</t>
  </si>
  <si>
    <t>4217461</t>
  </si>
  <si>
    <t>4316011</t>
  </si>
  <si>
    <t>4316030</t>
  </si>
  <si>
    <t>4316020</t>
  </si>
  <si>
    <t>4317461</t>
  </si>
  <si>
    <t>Нове будівництво світлофорного об'єкту в м.Миколаєві по вул. Херсонське шосе ріг вул.Новозаводської, у тому числі коригування та експертиза проектно-кошторисної документації</t>
  </si>
  <si>
    <t>Нове будівництво світлофорного об'єкта в м.Миколаєві по пр. Богоявленському ріг вул.Анатолія Олійника, у т.ч. проектні роботи та експертиза</t>
  </si>
  <si>
    <t>Нове будівництво світлофорного об’єкта в м.Миколаєві по пр. Центральному ріг вул. 8 Березня, у т.ч. проектні роботи та експертиза</t>
  </si>
  <si>
    <t>Нове будівництва світлофорного об’єкта в м.Миколаєві на перехресті вул. Великої Морської та вул. Московської, у т.ч. проектні роботи та експертиза</t>
  </si>
  <si>
    <t>Нове будівництво світлофорного об'єкта в м.Миколаєві по вул. Веселинівській ріг вул.Урожайної, у т.ч. проектні роботи та експертиза</t>
  </si>
  <si>
    <t xml:space="preserve">Нове будівництво світлофорного об'єкта в м.Миколаєві по вул. Малко-Тернівській ріг вул. Архітектора Старова,  у тому числі проектні роботи та експертиза </t>
  </si>
  <si>
    <t>Нове будівництво дошкільного навчального закладу по вул. Променева у мікрорайоні “Північний” м.Миколаєва, в т.ч. проектно-вишукувальні роботи та експертиза</t>
  </si>
  <si>
    <t>Нове будівництво берегоукріплювальної споруди вздовж вул.Лазурної у м.Миколаєві, в т.ч. проектно-вишукувальні роботи та експертиза</t>
  </si>
  <si>
    <t>4216020</t>
  </si>
  <si>
    <t>Нове будівництво мереж водовідведення та напірного колектору у мкр.Варварівка в м.Миколаєві, у т.ч. проектно-вишукувальні роботи та експертиза</t>
  </si>
  <si>
    <t>(2017-2022)</t>
  </si>
  <si>
    <t>(грн)</t>
  </si>
  <si>
    <t>Капітальні ремонти</t>
  </si>
  <si>
    <t>Нове будівництво дошкільного навчального закладу №67 за адресою: пр.Миру, 7/1 в м.Миколаєві, в т.ч. проектно-вишукувальні роботи та експертиза</t>
  </si>
  <si>
    <t>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</si>
  <si>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0700000</t>
  </si>
  <si>
    <t xml:space="preserve">Управління охоpони здоpов'я Миколаївської міської ради </t>
  </si>
  <si>
    <t>0710000</t>
  </si>
  <si>
    <t>(2020-2021)</t>
  </si>
  <si>
    <t>0717322</t>
  </si>
  <si>
    <r>
      <t xml:space="preserve">Будівництво </t>
    </r>
    <r>
      <rPr>
        <sz val="11"/>
        <color indexed="8"/>
        <rFont val="Times New Roman"/>
        <family val="1"/>
      </rPr>
      <t>медичних установ та закладів</t>
    </r>
  </si>
  <si>
    <t>1517323</t>
  </si>
  <si>
    <t>7323</t>
  </si>
  <si>
    <r>
      <t>Будівництво</t>
    </r>
    <r>
      <rPr>
        <sz val="11"/>
        <color indexed="8"/>
        <rFont val="Times New Roman"/>
        <family val="1"/>
      </rPr>
      <t> установ та закладів соціальної сфери</t>
    </r>
  </si>
  <si>
    <t>1517325</t>
  </si>
  <si>
    <t>Капітальний ремонт ліфтової шахти у хірургічному корпусі КНП ММР  "Міська  лікарня № 5" за адресою: м. Миколаїв, пр. Богоявленський, 336,з заміною  вантажно- лікарняного ліфту, в тому числі проектно - кошторисна документація та експертиза.</t>
  </si>
  <si>
    <t>(2016-2021)</t>
  </si>
  <si>
    <r>
      <t>Реконструкція гребної бази КДЮСШ "Комунарівець" по вул. Паромний Узвіз 1 в м.Миколаєві (робочий проект), у т.ч. проектні роботи,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геодезія, технічне обстеження та експертиза приміщень</t>
    </r>
  </si>
  <si>
    <t>Реконструкція Миколаївського міського палацу культури “Молодіжний”, І та ІІ черга за адресою: м.Миколаїв, Інгульський район, вул.Театральна (Васляєва), 1. Коригування</t>
  </si>
  <si>
    <t>0610</t>
  </si>
  <si>
    <t>Реконструкція спортивного майданчика ЗОШ №53 по вул. Потьомкінській, 154 у м. Миколаєві (Коригування), в т.ч. проектно-вишукувальні роботи та експертиза</t>
  </si>
  <si>
    <t>Реконструкція баскетбольного майданчика гімназії №4 по вул.Лазурній,48 у м. Миколаєві. Коригування, в т.ч. проектно-вишукувальні роботи та експертиза</t>
  </si>
  <si>
    <t>Реставрація будівлі по вул. Шевченка, 40 у м.Миколаєві. Коригування,  в т.ч. проектно – вишукувальні роботи та експертиза</t>
  </si>
  <si>
    <t>Капітальний ремонт (заміна) двох  ліфтів у  головному корпусі  Міської  лікарні швидкої медичної  допомоги по  вул. Корабелів, 14-В у м. Миколаєві, в тому числі проектно - кошторисна документація та експертиза.</t>
  </si>
  <si>
    <t>Капітальний ремонт  з придбанням  вантажно-медичного ліфту з модернізацією ліфтової шахти у  хірургічному корпусі комунального некомерційного підприємства Миколаївської міської ради "Міська  лікарня № 3" по вул. Космонавтів, 97 у м. Миколаєві, в тому числі проектно - кошторисна документація та експертиза.</t>
  </si>
  <si>
    <t xml:space="preserve">Нове будівництво котельні ЗОШ №4 по вул.М.Морська, 78 у м.Миколаєві (коригування), в т.ч. проектно-вишукувальні роботи та експертиза </t>
  </si>
  <si>
    <t xml:space="preserve">Нове будівництво світлофорного об'єкту  в районі військової частини по пр. Героїв України, 60 (м.Миколаїв, Миколаївська область),  у тому числі проектні роботи та експертиза </t>
  </si>
  <si>
    <t>Нове будівництво котельні ЗОШ №29 по вул.Ватутіна, 124 у м.Миколаєві, в т.ч. проектно-вишукувальні роботи та експертиза. Коригування</t>
  </si>
  <si>
    <t>Нове будівництво тролейбусної лінії по вул.Лазурній та вул. Озерній у м. Миколаєві, у тому числі коригування  та експертиза проектно-кошторисної документації</t>
  </si>
  <si>
    <t>Управління з питань надзвичайних ситуацій та цивільного захисту населення Миколаївської міської ради</t>
  </si>
  <si>
    <t>2900000</t>
  </si>
  <si>
    <t>2910000</t>
  </si>
  <si>
    <t>2917330</t>
  </si>
  <si>
    <t>2016-2020</t>
  </si>
  <si>
    <r>
      <rPr>
        <b/>
        <sz val="11"/>
        <rFont val="Times New Roman"/>
        <family val="1"/>
      </rPr>
      <t>Проект EMERGENCY:</t>
    </r>
    <r>
      <rPr>
        <sz val="11"/>
        <rFont val="Times New Roman"/>
        <family val="1"/>
      </rPr>
      <t xml:space="preserve"> "Капітальний ремонт приймального відділення КНП ММР "Міська лікарня №3" за адресою: м.Миколаїв, вул.Космонавтів, 97, в т.ч. проектно-кошторисна документація та експертиза</t>
    </r>
  </si>
  <si>
    <r>
      <rPr>
        <b/>
        <sz val="11"/>
        <rFont val="Times New Roman"/>
        <family val="1"/>
      </rPr>
      <t>Проект EMERGENCY:</t>
    </r>
    <r>
      <rPr>
        <sz val="11"/>
        <rFont val="Times New Roman"/>
        <family val="1"/>
      </rPr>
      <t xml:space="preserve"> "Реконструкція приймального відділення КНП ММР "Міська лікарня швидкої медичної допомоги" за адресою: м.Миколаїв, вул.Корабелів, 14а, в т.ч. проектно-кошторисна документація та експертиза</t>
    </r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</si>
  <si>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</si>
  <si>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</si>
  <si>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</si>
  <si>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</si>
  <si>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.100%</t>
  </si>
  <si>
    <t>не передб</t>
  </si>
  <si>
    <t>економія     (в зміни до бюджету)</t>
  </si>
  <si>
    <t>за рахунок залишку</t>
  </si>
  <si>
    <t>Нове будівництво об'єкту "ALPIN PARK Миколаїв Молодіжний - єдиний драйв-парк на півдні України!!!", м.Миколаїв, вул.Театральна,1 (Громадський бюджет на 2020 рік, ідентифікаційний номер проекту 66)</t>
  </si>
  <si>
    <t>Нове будівництво сімейної амбулаторії № 5 комунального некомерційного підприємства Центру первинної медико - санітарної допомоги № 4 м.Миколаєва за адресою: мкр. Матвіївка, вул. Лісова, біля будинку № 5. Коригування, в т.ч. проектно - вишукувальні роботи та експертиза</t>
  </si>
  <si>
    <t>Реставрація будівлі виконавчого комітету Миколаївської міської ради по вул.Адміральська, 20 у м.Миколаєві (заміна ліфта), в тому числі проектно-вишукувальні роботи та експертиза</t>
  </si>
  <si>
    <t>Нове будівництво місцевої автоматизованої системи централізованого оповіщення про загрозу або виникнення надзвичайних ситуацій у м.Миколаєві</t>
  </si>
  <si>
    <t>Нове будівництво каналізації на території житлового фонду приватного сектору у мікрорайоні Ялти у м.Миколаєві. Коригування, в т.ч. проектно-вишукувальні роботи та експертиза</t>
  </si>
  <si>
    <t>(2016-2022)</t>
  </si>
  <si>
    <t>Реконструкція покрівлі ЗОШ №64 по  вул.Архітектора Старова, 6-Г у м.Миколаєві, у т.ч. проектно-вишукувальні роботи та експертиза</t>
  </si>
  <si>
    <t xml:space="preserve">Будівництво навчальних приміщень для розвитку творчого потенціалу учнів з інклюзивною формою навчання МСШ «Академія дитячої творчості» за адресою: 54034, м. Миколаїв, вул. Олійника, 36, в т.ч. проектно-вишукувальні роботи та експертиза </t>
  </si>
  <si>
    <t>Нове будівництво будівлі нежитлового призначення за адресою: м.Миколаїв, вул.Озерна, 43, в т.ч. проектно-вишукувальні роботи та експертиза</t>
  </si>
  <si>
    <t>1217363</t>
  </si>
  <si>
    <t>4217363</t>
  </si>
  <si>
    <t>4317363</t>
  </si>
  <si>
    <r>
      <t xml:space="preserve">Капітальні ремонти - </t>
    </r>
    <r>
      <rPr>
        <i/>
        <sz val="11"/>
        <rFont val="Times New Roman"/>
        <family val="1"/>
      </rPr>
      <t xml:space="preserve">за рахунок залишку коштів  субвенції з державного бюджету місцевим бюджетам на здійснення заходів щодо соціально-економічного розвитку окремих територій </t>
    </r>
  </si>
  <si>
    <t>Реконструкція з термомодернізацією будівлі Миколаївської загальноосвітньої школи І-ІІІ ступенів №46 за адресою: м. Миколаїв, вул. 9 Поздовжня, 10,  в т.ч. проектно-вишукувальні роботи та експертиза</t>
  </si>
  <si>
    <t>(2019-2022)</t>
  </si>
  <si>
    <t>Реконструкція з термосанацією будівлі першого корпусу Миколаївської загальноосвітньої школи I-III ступенів №60 за адресою: м.Миколаїв, вул. Чорноморська, 1-а. Коригування, в т.ч. проектно-вишукувальні роботи та експертиза</t>
  </si>
  <si>
    <t>Реконструкція котельні будівлі Миколаївської загальноосвітньої  школи І-ІІІ ступенів № 23 за адресою: м.Миколаїв, вул.Гарнізонна, 10, в т.ч. проектно-вишукувальні роботи та експертиза</t>
  </si>
  <si>
    <r>
      <t>(2017-</t>
    </r>
    <r>
      <rPr>
        <sz val="9.9"/>
        <rFont val="Times New Roman"/>
        <family val="1"/>
      </rPr>
      <t>2021)</t>
    </r>
  </si>
  <si>
    <t>69</t>
  </si>
  <si>
    <t>Реконструкція нежитлової будівлі під розміщення дитячого дошкільного закладу за адресою: м.Миколаїв, вул. Космонавтів, 144а, в т. ч. проектно – вишукувальні роботи та експертиза</t>
  </si>
  <si>
    <t>Реконструкція з термосанацією будівлі дошкільного навчального закладу №87 за адресою: м. Миколаїв, вул.Привільна,57, в т.ч. проектно - вишукувальні роботи та експертиза</t>
  </si>
  <si>
    <t>Нове будівництво вуличних мереж водопостачання у мкр.Варварівка в м.Миколаєві, у тому числі проектно-вишукувальні роботи та експертиза</t>
  </si>
  <si>
    <t>(2020-2023)</t>
  </si>
  <si>
    <t xml:space="preserve">Реконструкція спортивного майданчику ЗОШ №44 по вул.Знаменській, 2/6 у м.Миколаєві (коригування), в т.ч. проектно-вишукувальні роботи та експертиза </t>
  </si>
  <si>
    <t>Реконструкція сімейної амбулаторії №5 КНП ММР "ЦПМСД №1" за адресою: просп.Богоявленський, 6, м.Миколаїв, в т.ч. проектно-вишукувальні роботи та експериза</t>
  </si>
  <si>
    <t>Реконструкція з прибудовою будівлі Миколаївської гімназії №41 за адресою: м.Миколаїв, вул.Театральна, 41, у тому числі проектно-вишукувальні роботи та експертиза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</si>
  <si>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</si>
  <si>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</si>
  <si>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</si>
  <si>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Код  Функціональної класифікації видатків та кредитування бюджету</t>
  </si>
  <si>
    <t>КУ Миколаївський зоопарк. Нове будівництво літніх вольєрів "Острів звірів" за адресою: пл.                      М. Леонтовича, 1 у м. Миколаєві. Коригування, в т.ч. проектно-вишукувальні роботи та експертиза</t>
  </si>
  <si>
    <t>Реконструкція території рекреаційного призначення скверу «Бойової слави»,  розташованого по вул. Озерній (Червоних Майовщиків), у районі житлових будинків №№ 25-29, 35 в Заводському районі міста Миколаєва,  у тому числі проектні роботи та експертиза</t>
  </si>
  <si>
    <t>1017340</t>
  </si>
  <si>
    <t>Реставрація пам’ятки історії  місцевого значення, в якій навчався Ш. Кобер - дитяча музична школа №8 по вул. 1 Госпітальна,1 в м.Миколаєві (першочергові протиаварійні роботи) (Коригування)</t>
  </si>
  <si>
    <t>Реконструкція спортивного майданчика   ЗОШ №57 ім. Т.Г.Шевченка за адресою: вул.Лазурна, 46   у м.Миколаєві, в тому числі проектно-вишукувальні роботи та експертиза</t>
  </si>
  <si>
    <t>1317310</t>
  </si>
  <si>
    <r>
      <rPr>
        <sz val="11"/>
        <rFont val="Times New Roman"/>
        <family val="1"/>
      </rPr>
      <t xml:space="preserve">Капітальні ремонти -  </t>
    </r>
    <r>
      <rPr>
        <i/>
        <sz val="11"/>
        <rFont val="Times New Roman"/>
        <family val="1"/>
      </rPr>
      <t xml:space="preserve">співфінансування залишку  субвенції з державного бюджету місцевим бюджетам на здійснення заходів щодо соціально-економічного розвитку окремих територій </t>
    </r>
  </si>
  <si>
    <r>
      <t xml:space="preserve">Капітальні ремонти - </t>
    </r>
    <r>
      <rPr>
        <i/>
        <sz val="11"/>
        <rFont val="Times New Roman"/>
        <family val="1"/>
      </rPr>
      <t xml:space="preserve">субвенція з державного бюджету місцевим бюджетам на здійснення заходів щодо соціально-економічного розвитку окремих територій </t>
    </r>
  </si>
  <si>
    <t>Прибудова  ЗОШ №22 по вул.Робочій,8 в м.Миколаєві (нове будівництво) Коригування, в тому числі проектно -вишукувальні роботи та експертиза</t>
  </si>
  <si>
    <t>Реконструкція спортивного майданчика ЗОШ №34 за адресою: вул. Лягіна, 28 у м. Миколаєві, в тому числі проектно-вишукувальні роботи та експертиза</t>
  </si>
  <si>
    <t>Реконструкція спортивного майданчика ЗОШ №17 за адресою: вул.Крилова, 12/6  у м. Миколаєві, в тому числі проектно-вишукувальні роботи та експертиза</t>
  </si>
  <si>
    <t>Реконструкція приймального відділення КНП ММР "Міська лікарня швидкої медичної допомоги" за адресою: м.Миколаїв, вул. Корабелів, 14В, в тому числі проектно-вишукувальні роботи та експертиза</t>
  </si>
  <si>
    <t>2020-2021</t>
  </si>
  <si>
    <t>(2017-2023)</t>
  </si>
  <si>
    <t>Нове будівництво дороги в обхід мкр. Балабанівка на ділянці від пр. Богоявленського до вул. Айвазовського у Корабельному районі м. Миколаєва, в т.ч. ТЕО, ОВД, проектно-кошторисна документація та експертиза</t>
  </si>
  <si>
    <r>
      <t>(2017-2021</t>
    </r>
    <r>
      <rPr>
        <sz val="9.9"/>
        <rFont val="Times New Roman"/>
        <family val="1"/>
      </rPr>
      <t>)</t>
    </r>
  </si>
  <si>
    <r>
      <t xml:space="preserve">Реконструкція систем опалення  житлових будинків за адресами: м. Миколаїв, вул. Херсонське шосе, 92; м. Миколаїв, вул. Херсонське шосе, 94; м. Миколаїв, вул. Херсонське шосе, 96; м. Миколаїв, вул. В. Чорновола, 3; м. Миколаїв, вул. В. Чорновола, 5; м. Миколаїв, вул. В. Чорновола, 7; м. Миколаїв, вул. В. Чорновола, 9; м. Миколаїв, вул Космонавтів, 67; м. Миколаїв, вул. Космонавтів, 69; м. Миколаїв, вул. Космонавтів, 71; м. Миколаїв, вул. Космонавтів, 73; м. Миколаїв, вул. Космонавтів, 73а,  та дошкільного навчального закладу №95 за адресою: м. Миколаїв, вул. Космонавтів, 67а,  в частині встановлення індивідуальних теплових пунктів, у т.ч. проектно-кошторисна документація та експертиза - </t>
    </r>
    <r>
      <rPr>
        <i/>
        <sz val="11"/>
        <rFont val="Times New Roman"/>
        <family val="1"/>
      </rPr>
      <t xml:space="preserve"> реалізація підпроєкту 1SE Схеми теплопостачання міста Миколаєва інвестиційного проєкту "DemoUkrainaDH у місті Миколаїв"</t>
    </r>
  </si>
  <si>
    <r>
      <t>Реконструкція теплових мереж на території багатоквартирної житлової забудови, обмеженої вул. Космонавтів, вул. 4 Поздовжньою, вул. В. Чорновола, вул. Херсонське шосе в місті Миколаєві,  до  житлових будинків за адресами: м. Миколаїв, вул. Херсонське шосе, 92; м. Миколаїв, вул. Херсонське шосе, 94; м. Миколаїв, вул. Херсонське шосе, 96; м. Миколаїв, вул. В. Чорновола, 3; м. Миколаїв, вул. В. Чорновола, 5; м. Миколаїв, вул. В. Чорновола, 7; м. Миколаїв, вул. В. Чорновола, 9; м. Миколаїв, вул Космонавтів, 67; м. Миколаїв, вул. Космонавтів, 69; м. Миколаїв, вул. Космонавтів, 71; м. Миколаїв, вул. Космонавтів, 73; м. Миколаїв, вул. Космонавтів, 73а,  та дошкільного навчального закладу № 95 за адресою: м. Миколаїв, вул. Космонавтів, 67а,  у т.ч. проектно-кошторисна документація та експертиза -</t>
    </r>
    <r>
      <rPr>
        <i/>
        <sz val="11"/>
        <rFont val="Times New Roman"/>
        <family val="1"/>
      </rPr>
      <t xml:space="preserve"> реалізація підпроєкту 1SE Схеми теплопостачання міста Миколаєва інвестиційного проєкту "DemoUkrainaDH у місті Миколаїв"</t>
    </r>
  </si>
  <si>
    <r>
      <t>Реконструкція підкачувальної насосної станції за адресою: м. Миколаїв, Херсонське шосе, 40-к під котельню потужність 4,5 МВт, у т.ч. проектно-кошторисна документація та експертиза -</t>
    </r>
    <r>
      <rPr>
        <i/>
        <sz val="11"/>
        <rFont val="Times New Roman"/>
        <family val="1"/>
      </rPr>
      <t xml:space="preserve"> реалізація підпроєкту 1NW Схеми теплопостачання міста Миколаєва інвестиційного проєкту "DemoUkrainaDH у місті Миколаїв"</t>
    </r>
  </si>
  <si>
    <r>
      <t>Реконструкція систем опалення житлових будинків за адресами: м. Миколаїв, вул. Херсонське шосе, 30; м. Миколаїв, вул. Херсонське шосе, 32; м. Миколаїв, вул. Херсонське шосе, 38; м. Миколаїв, вул. Херсонське шосе, 40; м. Миколаїв, вул. Херсонське шосе, 46; м. Миколаїв, вул. Херсонське шосе, 46/1; м. Миколаїв, вул. Херсонське шосе, 50; м. Миколаїв, вул. Генерала Свиридова, 7; м. Миколаїв, вул. Генерала Свиридова, 7/1, в частині встановлення індивідуальних теплових пунктів, у т.ч. проектно-кошторисна документація та експертиза -</t>
    </r>
    <r>
      <rPr>
        <i/>
        <sz val="11"/>
        <rFont val="Times New Roman"/>
        <family val="1"/>
      </rPr>
      <t xml:space="preserve"> реалізація підпроєкту 1NW Схеми теплопостачання міста Миколаєва інвестиційного проєкту "DemoUkrainaDH у місті Миколаїв"</t>
    </r>
  </si>
  <si>
    <r>
      <t xml:space="preserve">Реконструкція теплових мереж на території багатоквартирної житлової забудови, обмеженої вул. Космонавтів, вул. 4 Поздовжньою, вул. В. Чорновола, вул. Херсонське шосе в місті Миколаєві,  до  житлових будинків за адресами: м. Миколаїв, вул. Херсонське шосе, 30; м. Миколаїв, вул. Херсонське шосе, 32; м. Миколаїв, вул. Херсонське шосе, 38; м. Миколаїв, вул. Херсонське шосе, 40; м. Миколаїв, вул. Херсонське шосе, 46; м. Миколаїв, вул. Херсонське шосе, 46/1; м. Миколаїв, вул. Херсонське шосе, 50; м. Миколаїв, вул. Генерала Свиридова, 7; м. Миколаїв, вул. Генерала Свиридова, 7/1, у т.ч. проектно-кошторисна документація та експертиза - </t>
    </r>
    <r>
      <rPr>
        <i/>
        <sz val="11"/>
        <rFont val="Times New Roman"/>
        <family val="1"/>
      </rPr>
      <t>реалізація підпроєкту 1NW Схеми теплопостачання міста Миколаєва інвестиційного проєкту "DemoUkrainaDH у місті Миколаїв"</t>
    </r>
  </si>
  <si>
    <r>
      <t xml:space="preserve">Реконструкція приймального відділення КНП ММР "Міська лікарня швидкої медичної допомоги" за адресою: м.Миколаїв, вул. Корабелів, 14В, в тому числі проектно-вишукувальні роботи та експертиза - </t>
    </r>
    <r>
      <rPr>
        <i/>
        <sz val="11"/>
        <rFont val="Times New Roman"/>
        <family val="1"/>
      </rPr>
      <t>субвенція з місцевого бюджету на реалізацію проєктів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  </r>
  </si>
  <si>
    <r>
      <t xml:space="preserve">Капітальні ремонти - </t>
    </r>
    <r>
      <rPr>
        <i/>
        <sz val="11"/>
        <rFont val="Times New Roman"/>
        <family val="1"/>
      </rPr>
      <t>субвенція з місцевого бюджету на реалізацію проєктів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  </r>
  </si>
  <si>
    <r>
      <t xml:space="preserve">Реконструкція спортивного майданчику ЗОШ №44 по вул.Знаменській, 2/6 у м.Миколаєві (коригування), в т.ч. проектно-вишукувальні роботи та експертиза - </t>
    </r>
    <r>
      <rPr>
        <i/>
        <sz val="11"/>
        <rFont val="Times New Roman"/>
        <family val="1"/>
      </rPr>
      <t xml:space="preserve">субвенція з державного бюджету місцевим бюджетам на здійснення заходів щодо соціально-економічного розвитку окремих територій </t>
    </r>
  </si>
  <si>
    <r>
      <t>Нове будівництво дошкільного навчального закладу по вул. Променева у мікрорайоні “Північний” м.Миколаєва, в т.ч. проектно-вишукувальні роботи та експертиза -</t>
    </r>
    <r>
      <rPr>
        <i/>
        <sz val="11"/>
        <rFont val="Times New Roman"/>
        <family val="1"/>
      </rPr>
      <t xml:space="preserve"> за рахунок залишку коштів  субвенції з державного бюджету місцевим бюджетам на здійснення заходів щодо соціально-економічного розвитку окремих територій </t>
    </r>
  </si>
  <si>
    <t>(2015-2021)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</si>
  <si>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</si>
  <si>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</si>
  <si>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</si>
  <si>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99</t>
  </si>
  <si>
    <t>Нове будівництво світлофорного об'єкту в м.Миколаєві по вул. Космонавтів ріг вул. Турбінної  (коригування), у т.ч. експертиза проекту</t>
  </si>
  <si>
    <t>Реконструкція площі Соборної  в Центральному районі  м.Миколаєва. Коригування,  у т.ч. експертиза проекту</t>
  </si>
  <si>
    <t>Реконструкція скверу «Миколаївський»  – території рекреаційного призначення, розташованої по вул.  Космонавтів, біля ЗОШ № 20, будинків №№ 68а, 70 по вул. Миколаївській у Інгульському (Ленінському) районі м. Миколаєва. Коригування, у т.ч. експертиза проекту</t>
  </si>
  <si>
    <t>(2012-2021)</t>
  </si>
  <si>
    <t>Нове будівництво тролейбусної лінії по пр.Богоявленському від міського автовокзалу до вул. Гагаріна в м.Миколаєві. Коригування, у т.ч. експертиза проекту</t>
  </si>
  <si>
    <t>Реконструкція перехрестя по вул.Генерала Карпенка та вул.Крилова в м.Миколаєві. Коригування, у т.ч. проектні роботи, коригування проекту та експертиза</t>
  </si>
  <si>
    <t>Нове будівництво дюкеру через річку Південний Буг та магістральних мереж водопостачання мікрорайону Варварівка у м. Миколаєві. Коригування, у т.ч. експертиза проекту</t>
  </si>
  <si>
    <r>
      <t xml:space="preserve">Нове будівництво дюкеру через річку Південний Буг та магістральних мереж водопостачання мікрорайону Варварівка у м. Миколаєві. Коригування, у т.ч. експертиза проекту - </t>
    </r>
    <r>
      <rPr>
        <i/>
        <sz val="11"/>
        <rFont val="Times New Roman"/>
        <family val="1"/>
      </rPr>
      <t xml:space="preserve">за рахунок залишку коштів  субвенції з державного бюджету місцевим бюджетам на здійснення заходів щодо соціально-економічного розвитку окремих територій </t>
    </r>
  </si>
  <si>
    <t>Реконструкція скверу  «Манганарівський» («Пролетарський»),  обмеженого вулицями Адміральською, 1-ю Слобідською, Нікольською, Інженерною в Центральному районі м.Миколаєва. Коригування, у т.ч. експертиза проекту</t>
  </si>
  <si>
    <t>Ліквідація наслідків підтоплення житлового масиву Тернівка - будівництво дренажного колектору для захисту від підтоплення житлового масиву Тернівка у м. Миколаєві, у т.ч. проектні роботи та експертиза</t>
  </si>
  <si>
    <t xml:space="preserve">Реконструкція  елінгу №1 ДЮСШ №2 з надбудовою  спортивного залу  за адресою: вул. Спортивна, 11 у м.Миколаєві. Коригування, в т.ч. проектні роботи та експертиза  </t>
  </si>
  <si>
    <t>Реконструкція адміністративно-побутових будівель та спортивного майданчику стадіону "Юність" за адресою: вул. Погранична, 15 у м. Миколаєві, в т.ч. проектно-вишукувальні роботи та експертиза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</si>
</sst>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#,##0.0"/>
    <numFmt numFmtId="189" formatCode="0.0_)"/>
    <numFmt numFmtId="190" formatCode="#,##0.0000"/>
    <numFmt numFmtId="191" formatCode="#,##0.00\ _₽"/>
    <numFmt numFmtId="192" formatCode="#,##0.000_ ;[Red]\-#,##0.000\ "/>
    <numFmt numFmtId="193" formatCode="#,##0_ ;[Red]\-#,##0\ "/>
    <numFmt numFmtId="194" formatCode="_-* #,##0.000\ _₴_-;\-* #,##0.000\ _₴_-;_-* &quot;-&quot;??\ _₴_-;_-@_-"/>
    <numFmt numFmtId="195" formatCode="_-* #,##0.0\ _₴_-;\-* #,##0.0\ _₴_-;_-* &quot;-&quot;??\ _₴_-;_-@_-"/>
    <numFmt numFmtId="196" formatCode="_-* #,##0\ _₴_-;\-* #,##0\ _₴_-;_-* &quot;-&quot;??\ _₴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.9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>
      <alignment vertical="top"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57" fillId="33" borderId="0" xfId="0" applyFont="1" applyFill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3" fontId="3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3" fontId="6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7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3" fontId="61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57" fillId="33" borderId="0" xfId="0" applyFont="1" applyFill="1" applyAlignment="1">
      <alignment horizontal="center" wrapText="1"/>
    </xf>
    <xf numFmtId="3" fontId="37" fillId="33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top" wrapText="1"/>
    </xf>
    <xf numFmtId="3" fontId="2" fillId="8" borderId="10" xfId="0" applyNumberFormat="1" applyFont="1" applyFill="1" applyBorder="1" applyAlignment="1">
      <alignment horizontal="center"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63" fillId="33" borderId="0" xfId="0" applyFont="1" applyFill="1" applyAlignment="1">
      <alignment/>
    </xf>
    <xf numFmtId="0" fontId="63" fillId="0" borderId="0" xfId="0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7" fillId="33" borderId="0" xfId="0" applyFont="1" applyFill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4" fontId="37" fillId="33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3" fontId="57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left" vertical="center" wrapText="1"/>
      <protection/>
    </xf>
    <xf numFmtId="49" fontId="2" fillId="0" borderId="10" xfId="56" applyNumberFormat="1" applyFont="1" applyFill="1" applyBorder="1" applyAlignment="1" applyProtection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188" fontId="3" fillId="0" borderId="10" xfId="49" applyNumberFormat="1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31">
      <selection activeCell="I39" sqref="I39"/>
    </sheetView>
  </sheetViews>
  <sheetFormatPr defaultColWidth="9.140625" defaultRowHeight="15"/>
  <cols>
    <col min="1" max="1" width="15.57421875" style="20" customWidth="1"/>
    <col min="2" max="2" width="13.421875" style="20" customWidth="1"/>
    <col min="3" max="3" width="17.7109375" style="20" customWidth="1"/>
    <col min="4" max="4" width="49.00390625" style="20" customWidth="1"/>
    <col min="5" max="5" width="46.8515625" style="20" customWidth="1"/>
    <col min="6" max="6" width="15.140625" style="20" customWidth="1"/>
    <col min="7" max="7" width="16.421875" style="20" customWidth="1"/>
    <col min="8" max="8" width="13.140625" style="20" customWidth="1"/>
    <col min="9" max="9" width="16.57421875" style="20" customWidth="1"/>
    <col min="10" max="10" width="13.28125" style="20" customWidth="1"/>
    <col min="11" max="11" width="12.140625" style="12" customWidth="1"/>
    <col min="12" max="12" width="11.00390625" style="12" bestFit="1" customWidth="1"/>
    <col min="13" max="13" width="11.421875" style="12" bestFit="1" customWidth="1"/>
    <col min="14" max="16384" width="9.140625" style="12" customWidth="1"/>
  </cols>
  <sheetData>
    <row r="1" spans="1:10" s="1" customFormat="1" ht="15.75" customHeight="1">
      <c r="A1" s="14"/>
      <c r="B1" s="14"/>
      <c r="C1" s="15"/>
      <c r="D1" s="15"/>
      <c r="E1" s="15"/>
      <c r="F1" s="15"/>
      <c r="G1" s="15"/>
      <c r="H1" s="15"/>
      <c r="I1" s="15" t="s">
        <v>51</v>
      </c>
      <c r="J1" s="15"/>
    </row>
    <row r="2" spans="1:10" s="1" customFormat="1" ht="18.75" customHeight="1">
      <c r="A2" s="14"/>
      <c r="B2" s="14"/>
      <c r="C2" s="15"/>
      <c r="D2" s="15"/>
      <c r="E2" s="15"/>
      <c r="F2" s="15"/>
      <c r="G2" s="15"/>
      <c r="H2" s="15"/>
      <c r="I2" s="15" t="s">
        <v>4</v>
      </c>
      <c r="J2" s="15"/>
    </row>
    <row r="3" spans="1:10" s="1" customFormat="1" ht="20.25" customHeight="1">
      <c r="A3" s="14"/>
      <c r="B3" s="14"/>
      <c r="C3" s="15"/>
      <c r="D3" s="15"/>
      <c r="E3" s="15"/>
      <c r="F3" s="15"/>
      <c r="G3" s="15"/>
      <c r="H3" s="15"/>
      <c r="I3" s="15" t="s">
        <v>5</v>
      </c>
      <c r="J3" s="15"/>
    </row>
    <row r="4" spans="1:10" s="1" customFormat="1" ht="18.75" customHeight="1">
      <c r="A4" s="14"/>
      <c r="B4" s="14"/>
      <c r="C4" s="15"/>
      <c r="D4" s="15"/>
      <c r="E4" s="15"/>
      <c r="F4" s="15"/>
      <c r="G4" s="15"/>
      <c r="H4" s="15"/>
      <c r="I4" s="15" t="s">
        <v>6</v>
      </c>
      <c r="J4" s="15"/>
    </row>
    <row r="5" spans="1:10" s="1" customFormat="1" ht="17.25">
      <c r="A5" s="14"/>
      <c r="B5" s="14"/>
      <c r="C5" s="15"/>
      <c r="D5" s="15"/>
      <c r="E5" s="15"/>
      <c r="F5" s="15"/>
      <c r="G5" s="15"/>
      <c r="H5" s="15"/>
      <c r="I5" s="15"/>
      <c r="J5" s="15"/>
    </row>
    <row r="6" spans="1:10" s="1" customFormat="1" ht="15.75" customHeight="1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s="1" customFormat="1" ht="33" customHeight="1">
      <c r="A7" s="89" t="s">
        <v>148</v>
      </c>
      <c r="B7" s="89"/>
      <c r="C7" s="89"/>
      <c r="D7" s="89"/>
      <c r="E7" s="89"/>
      <c r="F7" s="89"/>
      <c r="G7" s="89"/>
      <c r="H7" s="89"/>
      <c r="I7" s="89"/>
      <c r="J7" s="89"/>
    </row>
    <row r="8" spans="1:10" s="1" customFormat="1" ht="22.5" customHeight="1">
      <c r="A8" s="91">
        <v>14201100000</v>
      </c>
      <c r="B8" s="91"/>
      <c r="C8" s="22"/>
      <c r="D8" s="22"/>
      <c r="E8" s="22"/>
      <c r="F8" s="22"/>
      <c r="G8" s="22"/>
      <c r="H8" s="22"/>
      <c r="I8" s="22"/>
      <c r="J8" s="23"/>
    </row>
    <row r="9" spans="1:10" s="1" customFormat="1" ht="12" customHeight="1">
      <c r="A9" s="24" t="s">
        <v>77</v>
      </c>
      <c r="B9" s="24"/>
      <c r="C9" s="22"/>
      <c r="D9" s="22"/>
      <c r="E9" s="22"/>
      <c r="F9" s="22"/>
      <c r="G9" s="22"/>
      <c r="H9" s="22"/>
      <c r="I9" s="22"/>
      <c r="J9" s="23"/>
    </row>
    <row r="10" spans="1:10" s="1" customFormat="1" ht="13.5" customHeight="1">
      <c r="A10" s="24"/>
      <c r="B10" s="24"/>
      <c r="C10" s="22"/>
      <c r="D10" s="22"/>
      <c r="E10" s="22"/>
      <c r="F10" s="22"/>
      <c r="G10" s="22"/>
      <c r="H10" s="22"/>
      <c r="I10" s="22"/>
      <c r="J10" s="48" t="s">
        <v>145</v>
      </c>
    </row>
    <row r="11" spans="1:10" s="1" customFormat="1" ht="132" customHeight="1">
      <c r="A11" s="45" t="s">
        <v>78</v>
      </c>
      <c r="B11" s="45" t="s">
        <v>79</v>
      </c>
      <c r="C11" s="45" t="s">
        <v>217</v>
      </c>
      <c r="D11" s="45" t="s">
        <v>3</v>
      </c>
      <c r="E11" s="45" t="s">
        <v>80</v>
      </c>
      <c r="F11" s="45" t="s">
        <v>81</v>
      </c>
      <c r="G11" s="45" t="s">
        <v>82</v>
      </c>
      <c r="H11" s="45" t="s">
        <v>83</v>
      </c>
      <c r="I11" s="45" t="s">
        <v>84</v>
      </c>
      <c r="J11" s="45" t="s">
        <v>85</v>
      </c>
    </row>
    <row r="12" spans="1:10" s="2" customFormat="1" ht="12" customHeight="1">
      <c r="A12" s="80">
        <v>1</v>
      </c>
      <c r="B12" s="80">
        <v>2</v>
      </c>
      <c r="C12" s="80">
        <v>3</v>
      </c>
      <c r="D12" s="80">
        <v>4</v>
      </c>
      <c r="E12" s="80">
        <v>5</v>
      </c>
      <c r="F12" s="80">
        <v>6</v>
      </c>
      <c r="G12" s="80">
        <v>7</v>
      </c>
      <c r="H12" s="80">
        <v>8</v>
      </c>
      <c r="I12" s="80">
        <v>9</v>
      </c>
      <c r="J12" s="80">
        <v>10</v>
      </c>
    </row>
    <row r="13" spans="1:10" s="72" customFormat="1" ht="27" customHeight="1">
      <c r="A13" s="30" t="s">
        <v>7</v>
      </c>
      <c r="B13" s="30"/>
      <c r="C13" s="30"/>
      <c r="D13" s="31" t="s">
        <v>8</v>
      </c>
      <c r="E13" s="32"/>
      <c r="F13" s="71"/>
      <c r="G13" s="47"/>
      <c r="H13" s="47"/>
      <c r="I13" s="47">
        <f>I14</f>
        <v>40404501</v>
      </c>
      <c r="J13" s="58"/>
    </row>
    <row r="14" spans="1:10" s="72" customFormat="1" ht="21.75" customHeight="1">
      <c r="A14" s="30" t="s">
        <v>9</v>
      </c>
      <c r="B14" s="30"/>
      <c r="C14" s="30"/>
      <c r="D14" s="31" t="s">
        <v>8</v>
      </c>
      <c r="E14" s="32"/>
      <c r="F14" s="71"/>
      <c r="G14" s="47"/>
      <c r="H14" s="47"/>
      <c r="I14" s="47">
        <f>SUM(I15:I18)</f>
        <v>40404501</v>
      </c>
      <c r="J14" s="58"/>
    </row>
    <row r="15" spans="1:10" s="72" customFormat="1" ht="28.5" customHeight="1">
      <c r="A15" s="27" t="s">
        <v>10</v>
      </c>
      <c r="B15" s="27" t="s">
        <v>11</v>
      </c>
      <c r="C15" s="27" t="s">
        <v>12</v>
      </c>
      <c r="D15" s="28" t="s">
        <v>13</v>
      </c>
      <c r="E15" s="38" t="s">
        <v>146</v>
      </c>
      <c r="F15" s="44"/>
      <c r="G15" s="43"/>
      <c r="H15" s="73"/>
      <c r="I15" s="26">
        <f>37475294-610188-110000-200000</f>
        <v>36555106</v>
      </c>
      <c r="J15" s="43"/>
    </row>
    <row r="16" spans="1:10" s="72" customFormat="1" ht="93.75" customHeight="1">
      <c r="A16" s="27" t="s">
        <v>10</v>
      </c>
      <c r="B16" s="27" t="s">
        <v>11</v>
      </c>
      <c r="C16" s="27" t="s">
        <v>12</v>
      </c>
      <c r="D16" s="28" t="s">
        <v>13</v>
      </c>
      <c r="E16" s="38" t="s">
        <v>195</v>
      </c>
      <c r="F16" s="44" t="s">
        <v>243</v>
      </c>
      <c r="G16" s="26">
        <v>11484648</v>
      </c>
      <c r="H16" s="69">
        <v>52</v>
      </c>
      <c r="I16" s="43">
        <f>110000+200000</f>
        <v>310000</v>
      </c>
      <c r="J16" s="43">
        <v>55</v>
      </c>
    </row>
    <row r="17" spans="1:10" s="72" customFormat="1" ht="55.5" customHeight="1">
      <c r="A17" s="27" t="s">
        <v>10</v>
      </c>
      <c r="B17" s="27" t="s">
        <v>11</v>
      </c>
      <c r="C17" s="27" t="s">
        <v>12</v>
      </c>
      <c r="D17" s="28" t="s">
        <v>13</v>
      </c>
      <c r="E17" s="38" t="s">
        <v>194</v>
      </c>
      <c r="F17" s="44" t="s">
        <v>68</v>
      </c>
      <c r="G17" s="26">
        <v>4115343</v>
      </c>
      <c r="H17" s="69">
        <v>80</v>
      </c>
      <c r="I17" s="43">
        <v>805138</v>
      </c>
      <c r="J17" s="43">
        <v>100</v>
      </c>
    </row>
    <row r="18" spans="1:10" s="4" customFormat="1" ht="53.25" customHeight="1">
      <c r="A18" s="27" t="s">
        <v>10</v>
      </c>
      <c r="B18" s="27" t="s">
        <v>11</v>
      </c>
      <c r="C18" s="27" t="s">
        <v>12</v>
      </c>
      <c r="D18" s="28" t="s">
        <v>13</v>
      </c>
      <c r="E18" s="63" t="s">
        <v>73</v>
      </c>
      <c r="F18" s="44" t="s">
        <v>68</v>
      </c>
      <c r="G18" s="26">
        <v>7364252</v>
      </c>
      <c r="H18" s="69">
        <v>71</v>
      </c>
      <c r="I18" s="43">
        <f>2124069+610188</f>
        <v>2734257</v>
      </c>
      <c r="J18" s="43">
        <v>100</v>
      </c>
    </row>
    <row r="19" spans="1:10" s="4" customFormat="1" ht="36" customHeight="1">
      <c r="A19" s="71" t="s">
        <v>149</v>
      </c>
      <c r="B19" s="71"/>
      <c r="C19" s="71"/>
      <c r="D19" s="74" t="s">
        <v>150</v>
      </c>
      <c r="E19" s="32"/>
      <c r="F19" s="71"/>
      <c r="G19" s="47"/>
      <c r="H19" s="75"/>
      <c r="I19" s="47">
        <f>I20</f>
        <v>3891855</v>
      </c>
      <c r="J19" s="76"/>
    </row>
    <row r="20" spans="1:10" s="72" customFormat="1" ht="36" customHeight="1">
      <c r="A20" s="71" t="s">
        <v>151</v>
      </c>
      <c r="B20" s="71"/>
      <c r="C20" s="71"/>
      <c r="D20" s="74" t="s">
        <v>150</v>
      </c>
      <c r="E20" s="32"/>
      <c r="F20" s="71"/>
      <c r="G20" s="47"/>
      <c r="H20" s="75"/>
      <c r="I20" s="47">
        <f>SUM(I21:I22)</f>
        <v>3891855</v>
      </c>
      <c r="J20" s="76"/>
    </row>
    <row r="21" spans="1:14" s="72" customFormat="1" ht="26.25" customHeight="1">
      <c r="A21" s="27" t="s">
        <v>153</v>
      </c>
      <c r="B21" s="27" t="s">
        <v>14</v>
      </c>
      <c r="C21" s="27" t="s">
        <v>12</v>
      </c>
      <c r="D21" s="28" t="s">
        <v>154</v>
      </c>
      <c r="E21" s="38" t="s">
        <v>146</v>
      </c>
      <c r="F21" s="44"/>
      <c r="G21" s="26"/>
      <c r="H21" s="69"/>
      <c r="I21" s="26">
        <f>5190735-710345-813535</f>
        <v>3666855</v>
      </c>
      <c r="J21" s="43"/>
      <c r="N21" s="77"/>
    </row>
    <row r="22" spans="1:10" s="72" customFormat="1" ht="82.5" customHeight="1">
      <c r="A22" s="27" t="s">
        <v>153</v>
      </c>
      <c r="B22" s="27" t="s">
        <v>14</v>
      </c>
      <c r="C22" s="27" t="s">
        <v>12</v>
      </c>
      <c r="D22" s="28" t="s">
        <v>154</v>
      </c>
      <c r="E22" s="38" t="s">
        <v>229</v>
      </c>
      <c r="F22" s="26" t="s">
        <v>230</v>
      </c>
      <c r="G22" s="26">
        <v>12733142</v>
      </c>
      <c r="H22" s="69">
        <v>0</v>
      </c>
      <c r="I22" s="43">
        <v>225000</v>
      </c>
      <c r="J22" s="43">
        <v>2</v>
      </c>
    </row>
    <row r="23" spans="1:10" s="4" customFormat="1" ht="37.5" customHeight="1">
      <c r="A23" s="30" t="s">
        <v>52</v>
      </c>
      <c r="B23" s="30"/>
      <c r="C23" s="30"/>
      <c r="D23" s="31" t="s">
        <v>53</v>
      </c>
      <c r="E23" s="32"/>
      <c r="F23" s="71"/>
      <c r="G23" s="47"/>
      <c r="H23" s="75"/>
      <c r="I23" s="47">
        <f>I24</f>
        <v>9060387</v>
      </c>
      <c r="J23" s="47"/>
    </row>
    <row r="24" spans="1:10" s="4" customFormat="1" ht="43.5" customHeight="1">
      <c r="A24" s="30" t="s">
        <v>54</v>
      </c>
      <c r="B24" s="30"/>
      <c r="C24" s="30"/>
      <c r="D24" s="31" t="s">
        <v>53</v>
      </c>
      <c r="E24" s="32"/>
      <c r="F24" s="71"/>
      <c r="G24" s="47"/>
      <c r="H24" s="75"/>
      <c r="I24" s="47">
        <f>SUM(I25:I28)</f>
        <v>9060387</v>
      </c>
      <c r="J24" s="47"/>
    </row>
    <row r="25" spans="1:10" s="1" customFormat="1" ht="24" customHeight="1">
      <c r="A25" s="27" t="s">
        <v>55</v>
      </c>
      <c r="B25" s="27" t="s">
        <v>56</v>
      </c>
      <c r="C25" s="27" t="s">
        <v>12</v>
      </c>
      <c r="D25" s="28" t="s">
        <v>57</v>
      </c>
      <c r="E25" s="38" t="s">
        <v>146</v>
      </c>
      <c r="F25" s="25"/>
      <c r="G25" s="26"/>
      <c r="H25" s="69"/>
      <c r="I25" s="26">
        <f>2749487+1400000</f>
        <v>4149487</v>
      </c>
      <c r="J25" s="26"/>
    </row>
    <row r="26" spans="1:10" s="1" customFormat="1" ht="78.75" customHeight="1">
      <c r="A26" s="27" t="s">
        <v>55</v>
      </c>
      <c r="B26" s="27" t="s">
        <v>56</v>
      </c>
      <c r="C26" s="27" t="s">
        <v>12</v>
      </c>
      <c r="D26" s="28" t="s">
        <v>57</v>
      </c>
      <c r="E26" s="81" t="s">
        <v>188</v>
      </c>
      <c r="F26" s="25" t="s">
        <v>86</v>
      </c>
      <c r="G26" s="26">
        <f>990000</f>
        <v>990000</v>
      </c>
      <c r="H26" s="69">
        <v>0</v>
      </c>
      <c r="I26" s="26">
        <f>990000-199100</f>
        <v>790900</v>
      </c>
      <c r="J26" s="26">
        <v>100</v>
      </c>
    </row>
    <row r="27" spans="1:10" s="1" customFormat="1" ht="67.5" customHeight="1">
      <c r="A27" s="27" t="s">
        <v>55</v>
      </c>
      <c r="B27" s="27" t="s">
        <v>56</v>
      </c>
      <c r="C27" s="27" t="s">
        <v>12</v>
      </c>
      <c r="D27" s="28" t="s">
        <v>57</v>
      </c>
      <c r="E27" s="81" t="s">
        <v>162</v>
      </c>
      <c r="F27" s="25" t="s">
        <v>231</v>
      </c>
      <c r="G27" s="26">
        <v>395047070</v>
      </c>
      <c r="H27" s="69">
        <v>6</v>
      </c>
      <c r="I27" s="26">
        <f>4560000-2000000</f>
        <v>2560000</v>
      </c>
      <c r="J27" s="26">
        <v>7</v>
      </c>
    </row>
    <row r="28" spans="1:10" s="1" customFormat="1" ht="79.5" customHeight="1">
      <c r="A28" s="27" t="s">
        <v>220</v>
      </c>
      <c r="B28" s="27" t="s">
        <v>66</v>
      </c>
      <c r="C28" s="27" t="s">
        <v>12</v>
      </c>
      <c r="D28" s="28" t="s">
        <v>67</v>
      </c>
      <c r="E28" s="81" t="s">
        <v>221</v>
      </c>
      <c r="F28" s="25" t="s">
        <v>160</v>
      </c>
      <c r="G28" s="26">
        <v>7791703</v>
      </c>
      <c r="H28" s="69">
        <v>29</v>
      </c>
      <c r="I28" s="26">
        <v>1560000</v>
      </c>
      <c r="J28" s="26">
        <v>49</v>
      </c>
    </row>
    <row r="29" spans="1:10" s="8" customFormat="1" ht="30.75" customHeight="1">
      <c r="A29" s="82" t="s">
        <v>69</v>
      </c>
      <c r="B29" s="30"/>
      <c r="C29" s="30"/>
      <c r="D29" s="31" t="s">
        <v>70</v>
      </c>
      <c r="E29" s="83"/>
      <c r="F29" s="33"/>
      <c r="G29" s="34"/>
      <c r="H29" s="34"/>
      <c r="I29" s="34">
        <f>I30</f>
        <v>7533444</v>
      </c>
      <c r="J29" s="34"/>
    </row>
    <row r="30" spans="1:10" s="8" customFormat="1" ht="30.75" customHeight="1">
      <c r="A30" s="82" t="s">
        <v>71</v>
      </c>
      <c r="B30" s="30"/>
      <c r="C30" s="30"/>
      <c r="D30" s="31" t="s">
        <v>70</v>
      </c>
      <c r="E30" s="83"/>
      <c r="F30" s="33"/>
      <c r="G30" s="34"/>
      <c r="H30" s="34"/>
      <c r="I30" s="34">
        <f>SUM(I31:I33)</f>
        <v>7533444</v>
      </c>
      <c r="J30" s="34"/>
    </row>
    <row r="31" spans="1:10" s="8" customFormat="1" ht="30" customHeight="1">
      <c r="A31" s="27" t="s">
        <v>72</v>
      </c>
      <c r="B31" s="27" t="s">
        <v>50</v>
      </c>
      <c r="C31" s="27" t="s">
        <v>12</v>
      </c>
      <c r="D31" s="28" t="s">
        <v>49</v>
      </c>
      <c r="E31" s="38" t="s">
        <v>146</v>
      </c>
      <c r="F31" s="25"/>
      <c r="G31" s="26"/>
      <c r="H31" s="26"/>
      <c r="I31" s="26">
        <f>7341232-65036-329176-430850</f>
        <v>6516170</v>
      </c>
      <c r="J31" s="26"/>
    </row>
    <row r="32" spans="1:13" s="1" customFormat="1" ht="61.5" customHeight="1">
      <c r="A32" s="27" t="s">
        <v>72</v>
      </c>
      <c r="B32" s="27" t="s">
        <v>50</v>
      </c>
      <c r="C32" s="27" t="s">
        <v>12</v>
      </c>
      <c r="D32" s="28" t="s">
        <v>49</v>
      </c>
      <c r="E32" s="81" t="s">
        <v>258</v>
      </c>
      <c r="F32" s="25" t="s">
        <v>243</v>
      </c>
      <c r="G32" s="78">
        <v>9610925.03</v>
      </c>
      <c r="H32" s="26">
        <v>36</v>
      </c>
      <c r="I32" s="26">
        <f>1565318-928044</f>
        <v>637274</v>
      </c>
      <c r="J32" s="26">
        <v>42</v>
      </c>
      <c r="K32" s="64"/>
      <c r="L32" s="64"/>
      <c r="M32" s="64"/>
    </row>
    <row r="33" spans="1:13" s="1" customFormat="1" ht="80.25" customHeight="1">
      <c r="A33" s="27" t="s">
        <v>72</v>
      </c>
      <c r="B33" s="27" t="s">
        <v>50</v>
      </c>
      <c r="C33" s="27" t="s">
        <v>12</v>
      </c>
      <c r="D33" s="28" t="s">
        <v>49</v>
      </c>
      <c r="E33" s="36" t="s">
        <v>161</v>
      </c>
      <c r="F33" s="25" t="s">
        <v>68</v>
      </c>
      <c r="G33" s="26">
        <v>14600000</v>
      </c>
      <c r="H33" s="26">
        <v>1</v>
      </c>
      <c r="I33" s="26">
        <v>380000</v>
      </c>
      <c r="J33" s="26">
        <v>3</v>
      </c>
      <c r="K33" s="64"/>
      <c r="L33" s="90"/>
      <c r="M33" s="90"/>
    </row>
    <row r="34" spans="1:13" s="9" customFormat="1" ht="27.75">
      <c r="A34" s="30" t="s">
        <v>16</v>
      </c>
      <c r="B34" s="30"/>
      <c r="C34" s="30"/>
      <c r="D34" s="31" t="s">
        <v>17</v>
      </c>
      <c r="E34" s="32"/>
      <c r="F34" s="33"/>
      <c r="G34" s="34"/>
      <c r="H34" s="34"/>
      <c r="I34" s="57">
        <f>I35</f>
        <v>230465641.77</v>
      </c>
      <c r="J34" s="34"/>
      <c r="K34" s="65"/>
      <c r="L34" s="65"/>
      <c r="M34" s="65"/>
    </row>
    <row r="35" spans="1:13" s="9" customFormat="1" ht="29.25" customHeight="1">
      <c r="A35" s="30" t="s">
        <v>18</v>
      </c>
      <c r="B35" s="30"/>
      <c r="C35" s="30"/>
      <c r="D35" s="31" t="s">
        <v>17</v>
      </c>
      <c r="E35" s="32"/>
      <c r="F35" s="33"/>
      <c r="G35" s="34"/>
      <c r="H35" s="34"/>
      <c r="I35" s="57">
        <f>SUM(I36:I64)</f>
        <v>230465641.77</v>
      </c>
      <c r="J35" s="34"/>
      <c r="K35" s="65"/>
      <c r="L35" s="65"/>
      <c r="M35" s="65"/>
    </row>
    <row r="36" spans="1:10" s="4" customFormat="1" ht="30" customHeight="1">
      <c r="A36" s="27" t="s">
        <v>100</v>
      </c>
      <c r="B36" s="27" t="s">
        <v>101</v>
      </c>
      <c r="C36" s="27" t="s">
        <v>163</v>
      </c>
      <c r="D36" s="28" t="s">
        <v>103</v>
      </c>
      <c r="E36" s="38" t="s">
        <v>146</v>
      </c>
      <c r="F36" s="44"/>
      <c r="G36" s="26"/>
      <c r="H36" s="26"/>
      <c r="I36" s="43">
        <f>92661441-9945553+50000-5000000</f>
        <v>77765888</v>
      </c>
      <c r="J36" s="43"/>
    </row>
    <row r="37" spans="1:10" s="4" customFormat="1" ht="36.75" customHeight="1">
      <c r="A37" s="27" t="s">
        <v>104</v>
      </c>
      <c r="B37" s="27" t="s">
        <v>105</v>
      </c>
      <c r="C37" s="27" t="s">
        <v>102</v>
      </c>
      <c r="D37" s="28" t="s">
        <v>106</v>
      </c>
      <c r="E37" s="38" t="s">
        <v>146</v>
      </c>
      <c r="F37" s="44"/>
      <c r="G37" s="26"/>
      <c r="H37" s="26"/>
      <c r="I37" s="43">
        <v>1000000</v>
      </c>
      <c r="J37" s="43"/>
    </row>
    <row r="38" spans="1:10" s="4" customFormat="1" ht="25.5" customHeight="1">
      <c r="A38" s="27" t="s">
        <v>109</v>
      </c>
      <c r="B38" s="27" t="s">
        <v>107</v>
      </c>
      <c r="C38" s="27" t="s">
        <v>102</v>
      </c>
      <c r="D38" s="28" t="s">
        <v>108</v>
      </c>
      <c r="E38" s="38" t="s">
        <v>146</v>
      </c>
      <c r="F38" s="44"/>
      <c r="G38" s="26"/>
      <c r="H38" s="26"/>
      <c r="I38" s="26">
        <f>47160217+3000000+3360000+30000-7800000-4041000</f>
        <v>41709217</v>
      </c>
      <c r="J38" s="43"/>
    </row>
    <row r="39" spans="1:10" s="10" customFormat="1" ht="73.5" customHeight="1">
      <c r="A39" s="27" t="s">
        <v>19</v>
      </c>
      <c r="B39" s="27" t="s">
        <v>20</v>
      </c>
      <c r="C39" s="27" t="s">
        <v>12</v>
      </c>
      <c r="D39" s="28" t="s">
        <v>21</v>
      </c>
      <c r="E39" s="29" t="s">
        <v>172</v>
      </c>
      <c r="F39" s="25" t="s">
        <v>42</v>
      </c>
      <c r="G39" s="26">
        <v>47241239</v>
      </c>
      <c r="H39" s="26">
        <v>87</v>
      </c>
      <c r="I39" s="26">
        <f>1000000+4920000-95851</f>
        <v>5824149</v>
      </c>
      <c r="J39" s="26">
        <v>100</v>
      </c>
    </row>
    <row r="40" spans="1:10" s="10" customFormat="1" ht="71.25" customHeight="1">
      <c r="A40" s="27" t="s">
        <v>19</v>
      </c>
      <c r="B40" s="27" t="s">
        <v>20</v>
      </c>
      <c r="C40" s="27" t="s">
        <v>12</v>
      </c>
      <c r="D40" s="28" t="s">
        <v>21</v>
      </c>
      <c r="E40" s="29" t="s">
        <v>60</v>
      </c>
      <c r="F40" s="25" t="s">
        <v>43</v>
      </c>
      <c r="G40" s="26">
        <v>709277</v>
      </c>
      <c r="H40" s="26">
        <v>66</v>
      </c>
      <c r="I40" s="26">
        <f>327966+35141-1170</f>
        <v>361937</v>
      </c>
      <c r="J40" s="26">
        <v>100</v>
      </c>
    </row>
    <row r="41" spans="1:10" s="10" customFormat="1" ht="75" customHeight="1">
      <c r="A41" s="27" t="s">
        <v>19</v>
      </c>
      <c r="B41" s="27" t="s">
        <v>20</v>
      </c>
      <c r="C41" s="27" t="s">
        <v>12</v>
      </c>
      <c r="D41" s="28" t="s">
        <v>21</v>
      </c>
      <c r="E41" s="29" t="s">
        <v>134</v>
      </c>
      <c r="F41" s="25" t="s">
        <v>43</v>
      </c>
      <c r="G41" s="39">
        <v>1500000</v>
      </c>
      <c r="H41" s="26">
        <v>4</v>
      </c>
      <c r="I41" s="26">
        <f>1100000-957664</f>
        <v>142336</v>
      </c>
      <c r="J41" s="26">
        <v>13</v>
      </c>
    </row>
    <row r="42" spans="1:11" s="10" customFormat="1" ht="78" customHeight="1">
      <c r="A42" s="27" t="s">
        <v>19</v>
      </c>
      <c r="B42" s="27" t="s">
        <v>20</v>
      </c>
      <c r="C42" s="27" t="s">
        <v>12</v>
      </c>
      <c r="D42" s="28" t="s">
        <v>21</v>
      </c>
      <c r="E42" s="29" t="s">
        <v>248</v>
      </c>
      <c r="F42" s="25" t="s">
        <v>63</v>
      </c>
      <c r="G42" s="39">
        <v>862834</v>
      </c>
      <c r="H42" s="39">
        <v>6</v>
      </c>
      <c r="I42" s="39">
        <f>593817-521850</f>
        <v>71967</v>
      </c>
      <c r="J42" s="26">
        <v>12</v>
      </c>
      <c r="K42" s="79"/>
    </row>
    <row r="43" spans="1:10" s="10" customFormat="1" ht="72" customHeight="1">
      <c r="A43" s="27" t="s">
        <v>19</v>
      </c>
      <c r="B43" s="27" t="s">
        <v>20</v>
      </c>
      <c r="C43" s="27" t="s">
        <v>12</v>
      </c>
      <c r="D43" s="28" t="s">
        <v>21</v>
      </c>
      <c r="E43" s="29" t="s">
        <v>135</v>
      </c>
      <c r="F43" s="25" t="s">
        <v>41</v>
      </c>
      <c r="G43" s="26">
        <f>1500000-401186</f>
        <v>1098814</v>
      </c>
      <c r="H43" s="26">
        <v>73</v>
      </c>
      <c r="I43" s="26">
        <f>300000+8575-6522</f>
        <v>302053</v>
      </c>
      <c r="J43" s="26">
        <v>99</v>
      </c>
    </row>
    <row r="44" spans="1:10" s="40" customFormat="1" ht="62.25" customHeight="1">
      <c r="A44" s="27" t="s">
        <v>19</v>
      </c>
      <c r="B44" s="27" t="s">
        <v>20</v>
      </c>
      <c r="C44" s="27" t="s">
        <v>12</v>
      </c>
      <c r="D44" s="28" t="s">
        <v>21</v>
      </c>
      <c r="E44" s="29" t="s">
        <v>136</v>
      </c>
      <c r="F44" s="25" t="s">
        <v>41</v>
      </c>
      <c r="G44" s="26">
        <v>1271094</v>
      </c>
      <c r="H44" s="26">
        <v>84</v>
      </c>
      <c r="I44" s="26">
        <f>206764-204712</f>
        <v>2052</v>
      </c>
      <c r="J44" s="26">
        <v>100</v>
      </c>
    </row>
    <row r="45" spans="1:10" s="10" customFormat="1" ht="67.5" customHeight="1">
      <c r="A45" s="27" t="s">
        <v>19</v>
      </c>
      <c r="B45" s="27" t="s">
        <v>20</v>
      </c>
      <c r="C45" s="27" t="s">
        <v>12</v>
      </c>
      <c r="D45" s="28" t="s">
        <v>21</v>
      </c>
      <c r="E45" s="84" t="s">
        <v>137</v>
      </c>
      <c r="F45" s="25" t="s">
        <v>41</v>
      </c>
      <c r="G45" s="26">
        <v>929777</v>
      </c>
      <c r="H45" s="26">
        <v>87</v>
      </c>
      <c r="I45" s="26">
        <f>177353+120405-106955</f>
        <v>190803</v>
      </c>
      <c r="J45" s="26">
        <v>99</v>
      </c>
    </row>
    <row r="46" spans="1:10" s="40" customFormat="1" ht="60" customHeight="1">
      <c r="A46" s="27" t="s">
        <v>19</v>
      </c>
      <c r="B46" s="27" t="s">
        <v>20</v>
      </c>
      <c r="C46" s="27" t="s">
        <v>12</v>
      </c>
      <c r="D46" s="63" t="s">
        <v>21</v>
      </c>
      <c r="E46" s="63" t="s">
        <v>64</v>
      </c>
      <c r="F46" s="25" t="s">
        <v>41</v>
      </c>
      <c r="G46" s="26">
        <v>1173196</v>
      </c>
      <c r="H46" s="27" t="s">
        <v>206</v>
      </c>
      <c r="I46" s="26">
        <f>136580-134015</f>
        <v>2565</v>
      </c>
      <c r="J46" s="27" t="s">
        <v>247</v>
      </c>
    </row>
    <row r="47" spans="1:11" s="10" customFormat="1" ht="53.25" customHeight="1">
      <c r="A47" s="27" t="s">
        <v>19</v>
      </c>
      <c r="B47" s="27" t="s">
        <v>20</v>
      </c>
      <c r="C47" s="27" t="s">
        <v>12</v>
      </c>
      <c r="D47" s="28" t="s">
        <v>21</v>
      </c>
      <c r="E47" s="29" t="s">
        <v>249</v>
      </c>
      <c r="F47" s="25" t="s">
        <v>63</v>
      </c>
      <c r="G47" s="78">
        <v>104988302.36</v>
      </c>
      <c r="H47" s="26">
        <v>78</v>
      </c>
      <c r="I47" s="26">
        <f>12000000-6200000</f>
        <v>5800000</v>
      </c>
      <c r="J47" s="26">
        <v>84</v>
      </c>
      <c r="K47" s="79"/>
    </row>
    <row r="48" spans="1:11" s="10" customFormat="1" ht="111" customHeight="1">
      <c r="A48" s="44" t="s">
        <v>19</v>
      </c>
      <c r="B48" s="44" t="s">
        <v>20</v>
      </c>
      <c r="C48" s="44" t="s">
        <v>12</v>
      </c>
      <c r="D48" s="38" t="s">
        <v>21</v>
      </c>
      <c r="E48" s="29" t="s">
        <v>250</v>
      </c>
      <c r="F48" s="25" t="s">
        <v>63</v>
      </c>
      <c r="G48" s="26">
        <v>14655787</v>
      </c>
      <c r="H48" s="26">
        <v>1</v>
      </c>
      <c r="I48" s="26">
        <f>1000000-800000+1200000</f>
        <v>1400000</v>
      </c>
      <c r="J48" s="26">
        <v>10</v>
      </c>
      <c r="K48" s="79"/>
    </row>
    <row r="49" spans="1:10" s="10" customFormat="1" ht="96" customHeight="1">
      <c r="A49" s="27" t="s">
        <v>19</v>
      </c>
      <c r="B49" s="27" t="s">
        <v>20</v>
      </c>
      <c r="C49" s="27" t="s">
        <v>12</v>
      </c>
      <c r="D49" s="28" t="s">
        <v>21</v>
      </c>
      <c r="E49" s="29" t="s">
        <v>256</v>
      </c>
      <c r="F49" s="25" t="s">
        <v>251</v>
      </c>
      <c r="G49" s="26">
        <v>56608069</v>
      </c>
      <c r="H49" s="26">
        <v>17</v>
      </c>
      <c r="I49" s="26">
        <f>16000000+4000000-1800000-1130000</f>
        <v>17070000</v>
      </c>
      <c r="J49" s="26">
        <v>49</v>
      </c>
    </row>
    <row r="50" spans="1:11" s="10" customFormat="1" ht="75.75" customHeight="1">
      <c r="A50" s="27" t="s">
        <v>19</v>
      </c>
      <c r="B50" s="27" t="s">
        <v>20</v>
      </c>
      <c r="C50" s="27" t="s">
        <v>12</v>
      </c>
      <c r="D50" s="28" t="s">
        <v>21</v>
      </c>
      <c r="E50" s="29" t="s">
        <v>170</v>
      </c>
      <c r="F50" s="25" t="s">
        <v>41</v>
      </c>
      <c r="G50" s="26">
        <v>903020</v>
      </c>
      <c r="H50" s="26">
        <v>43</v>
      </c>
      <c r="I50" s="26">
        <f>513020+33347-168000</f>
        <v>378367</v>
      </c>
      <c r="J50" s="26">
        <v>63</v>
      </c>
      <c r="K50" s="79"/>
    </row>
    <row r="51" spans="1:10" s="10" customFormat="1" ht="68.25" customHeight="1">
      <c r="A51" s="27" t="s">
        <v>19</v>
      </c>
      <c r="B51" s="27" t="s">
        <v>20</v>
      </c>
      <c r="C51" s="27" t="s">
        <v>12</v>
      </c>
      <c r="D51" s="28" t="s">
        <v>21</v>
      </c>
      <c r="E51" s="29" t="s">
        <v>138</v>
      </c>
      <c r="F51" s="25" t="s">
        <v>41</v>
      </c>
      <c r="G51" s="26">
        <f>1140566-219099</f>
        <v>921467</v>
      </c>
      <c r="H51" s="26">
        <v>88</v>
      </c>
      <c r="I51" s="26">
        <f>114147-46831-41321</f>
        <v>25995</v>
      </c>
      <c r="J51" s="26">
        <v>99</v>
      </c>
    </row>
    <row r="52" spans="1:10" s="10" customFormat="1" ht="69.75" customHeight="1">
      <c r="A52" s="27" t="s">
        <v>19</v>
      </c>
      <c r="B52" s="27" t="s">
        <v>20</v>
      </c>
      <c r="C52" s="27" t="s">
        <v>12</v>
      </c>
      <c r="D52" s="28" t="s">
        <v>21</v>
      </c>
      <c r="E52" s="29" t="s">
        <v>139</v>
      </c>
      <c r="F52" s="25" t="s">
        <v>45</v>
      </c>
      <c r="G52" s="26">
        <v>1200000</v>
      </c>
      <c r="H52" s="26">
        <v>0</v>
      </c>
      <c r="I52" s="26">
        <f>900000-848000</f>
        <v>52000</v>
      </c>
      <c r="J52" s="26">
        <v>4</v>
      </c>
    </row>
    <row r="53" spans="1:10" s="10" customFormat="1" ht="74.25" customHeight="1">
      <c r="A53" s="27" t="s">
        <v>19</v>
      </c>
      <c r="B53" s="27" t="s">
        <v>20</v>
      </c>
      <c r="C53" s="27" t="s">
        <v>12</v>
      </c>
      <c r="D53" s="28" t="s">
        <v>21</v>
      </c>
      <c r="E53" s="29" t="s">
        <v>252</v>
      </c>
      <c r="F53" s="26" t="s">
        <v>144</v>
      </c>
      <c r="G53" s="26">
        <v>153876191</v>
      </c>
      <c r="H53" s="26">
        <v>1</v>
      </c>
      <c r="I53" s="26">
        <f>10000000</f>
        <v>10000000</v>
      </c>
      <c r="J53" s="26">
        <v>7</v>
      </c>
    </row>
    <row r="54" spans="1:10" s="10" customFormat="1" ht="68.25" customHeight="1">
      <c r="A54" s="44" t="s">
        <v>19</v>
      </c>
      <c r="B54" s="44" t="s">
        <v>20</v>
      </c>
      <c r="C54" s="44" t="s">
        <v>12</v>
      </c>
      <c r="D54" s="38" t="s">
        <v>21</v>
      </c>
      <c r="E54" s="68" t="s">
        <v>209</v>
      </c>
      <c r="F54" s="25" t="s">
        <v>88</v>
      </c>
      <c r="G54" s="26">
        <v>6497923</v>
      </c>
      <c r="H54" s="26">
        <v>0</v>
      </c>
      <c r="I54" s="26">
        <f>900722-478775</f>
        <v>421947</v>
      </c>
      <c r="J54" s="26">
        <v>6</v>
      </c>
    </row>
    <row r="55" spans="1:10" s="10" customFormat="1" ht="76.5" customHeight="1">
      <c r="A55" s="27" t="s">
        <v>19</v>
      </c>
      <c r="B55" s="27" t="s">
        <v>20</v>
      </c>
      <c r="C55" s="27" t="s">
        <v>12</v>
      </c>
      <c r="D55" s="28" t="s">
        <v>21</v>
      </c>
      <c r="E55" s="29" t="s">
        <v>143</v>
      </c>
      <c r="F55" s="25" t="s">
        <v>88</v>
      </c>
      <c r="G55" s="26">
        <v>73551233</v>
      </c>
      <c r="H55" s="26">
        <v>0</v>
      </c>
      <c r="I55" s="26">
        <f>3551233-2493539-306090</f>
        <v>751604</v>
      </c>
      <c r="J55" s="26">
        <v>1</v>
      </c>
    </row>
    <row r="56" spans="1:10" s="10" customFormat="1" ht="67.5" customHeight="1">
      <c r="A56" s="27" t="s">
        <v>19</v>
      </c>
      <c r="B56" s="27" t="s">
        <v>20</v>
      </c>
      <c r="C56" s="27" t="s">
        <v>12</v>
      </c>
      <c r="D56" s="28" t="s">
        <v>21</v>
      </c>
      <c r="E56" s="68" t="s">
        <v>253</v>
      </c>
      <c r="F56" s="25" t="s">
        <v>44</v>
      </c>
      <c r="G56" s="26">
        <v>28181857</v>
      </c>
      <c r="H56" s="26">
        <v>5</v>
      </c>
      <c r="I56" s="26">
        <f>10659653+9120000+2880000</f>
        <v>22659653</v>
      </c>
      <c r="J56" s="26">
        <v>83</v>
      </c>
    </row>
    <row r="57" spans="1:10" s="10" customFormat="1" ht="108" customHeight="1">
      <c r="A57" s="27" t="s">
        <v>19</v>
      </c>
      <c r="B57" s="27" t="s">
        <v>20</v>
      </c>
      <c r="C57" s="27" t="s">
        <v>12</v>
      </c>
      <c r="D57" s="28" t="s">
        <v>21</v>
      </c>
      <c r="E57" s="68" t="s">
        <v>219</v>
      </c>
      <c r="F57" s="25" t="s">
        <v>44</v>
      </c>
      <c r="G57" s="26">
        <v>13000000</v>
      </c>
      <c r="H57" s="26">
        <v>1</v>
      </c>
      <c r="I57" s="26">
        <f>1000000-500000-400000</f>
        <v>100000</v>
      </c>
      <c r="J57" s="26">
        <v>1</v>
      </c>
    </row>
    <row r="58" spans="1:10" s="10" customFormat="1" ht="84" customHeight="1">
      <c r="A58" s="27" t="s">
        <v>19</v>
      </c>
      <c r="B58" s="27" t="s">
        <v>20</v>
      </c>
      <c r="C58" s="27" t="s">
        <v>12</v>
      </c>
      <c r="D58" s="28" t="s">
        <v>21</v>
      </c>
      <c r="E58" s="36" t="s">
        <v>232</v>
      </c>
      <c r="F58" s="26" t="s">
        <v>210</v>
      </c>
      <c r="G58" s="26">
        <v>100905314</v>
      </c>
      <c r="H58" s="26">
        <v>0</v>
      </c>
      <c r="I58" s="26">
        <v>100000</v>
      </c>
      <c r="J58" s="26">
        <v>1</v>
      </c>
    </row>
    <row r="59" spans="1:10" s="40" customFormat="1" ht="84" customHeight="1">
      <c r="A59" s="27" t="s">
        <v>19</v>
      </c>
      <c r="B59" s="27" t="s">
        <v>20</v>
      </c>
      <c r="C59" s="27" t="s">
        <v>12</v>
      </c>
      <c r="D59" s="28" t="s">
        <v>21</v>
      </c>
      <c r="E59" s="36" t="s">
        <v>257</v>
      </c>
      <c r="F59" s="26" t="s">
        <v>251</v>
      </c>
      <c r="G59" s="26">
        <v>14276263</v>
      </c>
      <c r="H59" s="26">
        <v>71</v>
      </c>
      <c r="I59" s="26">
        <v>1970000</v>
      </c>
      <c r="J59" s="26">
        <v>85</v>
      </c>
    </row>
    <row r="60" spans="1:10" s="10" customFormat="1" ht="73.5" customHeight="1">
      <c r="A60" s="27" t="s">
        <v>214</v>
      </c>
      <c r="B60" s="27" t="s">
        <v>215</v>
      </c>
      <c r="C60" s="27" t="s">
        <v>181</v>
      </c>
      <c r="D60" s="28" t="s">
        <v>216</v>
      </c>
      <c r="E60" s="29" t="s">
        <v>254</v>
      </c>
      <c r="F60" s="26" t="s">
        <v>233</v>
      </c>
      <c r="G60" s="26">
        <v>81388043</v>
      </c>
      <c r="H60" s="26">
        <v>2</v>
      </c>
      <c r="I60" s="26">
        <f>30000000-6720931-1500000</f>
        <v>21779069</v>
      </c>
      <c r="J60" s="26">
        <v>95</v>
      </c>
    </row>
    <row r="61" spans="1:13" s="10" customFormat="1" ht="87.75" customHeight="1">
      <c r="A61" s="27" t="s">
        <v>197</v>
      </c>
      <c r="B61" s="27" t="s">
        <v>180</v>
      </c>
      <c r="C61" s="27" t="s">
        <v>181</v>
      </c>
      <c r="D61" s="28" t="s">
        <v>182</v>
      </c>
      <c r="E61" s="38" t="s">
        <v>200</v>
      </c>
      <c r="F61" s="25"/>
      <c r="G61" s="26"/>
      <c r="H61" s="26"/>
      <c r="I61" s="78">
        <v>6389393.66</v>
      </c>
      <c r="J61" s="26"/>
      <c r="L61" s="66"/>
      <c r="M61" s="66"/>
    </row>
    <row r="62" spans="1:13" s="10" customFormat="1" ht="87.75" customHeight="1">
      <c r="A62" s="27" t="s">
        <v>197</v>
      </c>
      <c r="B62" s="27" t="s">
        <v>180</v>
      </c>
      <c r="C62" s="27" t="s">
        <v>181</v>
      </c>
      <c r="D62" s="28" t="s">
        <v>182</v>
      </c>
      <c r="E62" s="85" t="s">
        <v>224</v>
      </c>
      <c r="F62" s="25"/>
      <c r="G62" s="26"/>
      <c r="H62" s="26"/>
      <c r="I62" s="26">
        <v>345551</v>
      </c>
      <c r="J62" s="26"/>
      <c r="L62" s="66"/>
      <c r="M62" s="66"/>
    </row>
    <row r="63" spans="1:13" s="10" customFormat="1" ht="127.5" customHeight="1">
      <c r="A63" s="27" t="s">
        <v>197</v>
      </c>
      <c r="B63" s="27" t="s">
        <v>180</v>
      </c>
      <c r="C63" s="27" t="s">
        <v>181</v>
      </c>
      <c r="D63" s="28" t="s">
        <v>182</v>
      </c>
      <c r="E63" s="29" t="s">
        <v>255</v>
      </c>
      <c r="F63" s="26" t="s">
        <v>205</v>
      </c>
      <c r="G63" s="26">
        <v>81388043</v>
      </c>
      <c r="H63" s="26">
        <v>2</v>
      </c>
      <c r="I63" s="78">
        <v>58201.11</v>
      </c>
      <c r="J63" s="26">
        <v>95</v>
      </c>
      <c r="L63" s="66"/>
      <c r="M63" s="66"/>
    </row>
    <row r="64" spans="1:13" s="10" customFormat="1" ht="47.25" customHeight="1">
      <c r="A64" s="27" t="s">
        <v>110</v>
      </c>
      <c r="B64" s="27" t="s">
        <v>111</v>
      </c>
      <c r="C64" s="27" t="s">
        <v>112</v>
      </c>
      <c r="D64" s="28" t="s">
        <v>113</v>
      </c>
      <c r="E64" s="38" t="s">
        <v>146</v>
      </c>
      <c r="F64" s="26"/>
      <c r="G64" s="26"/>
      <c r="H64" s="26"/>
      <c r="I64" s="26">
        <f>58458500-9899290-7616316-2000000-25152000</f>
        <v>13790894</v>
      </c>
      <c r="J64" s="26"/>
      <c r="L64" s="41"/>
      <c r="M64" s="41"/>
    </row>
    <row r="65" spans="1:10" s="10" customFormat="1" ht="45.75" customHeight="1">
      <c r="A65" s="30" t="s">
        <v>22</v>
      </c>
      <c r="B65" s="30"/>
      <c r="C65" s="30"/>
      <c r="D65" s="31" t="s">
        <v>23</v>
      </c>
      <c r="E65" s="32"/>
      <c r="F65" s="33"/>
      <c r="G65" s="34"/>
      <c r="H65" s="34"/>
      <c r="I65" s="34">
        <f>I66</f>
        <v>103222955</v>
      </c>
      <c r="J65" s="34"/>
    </row>
    <row r="66" spans="1:10" s="10" customFormat="1" ht="45.75" customHeight="1">
      <c r="A66" s="30" t="s">
        <v>24</v>
      </c>
      <c r="B66" s="30"/>
      <c r="C66" s="30"/>
      <c r="D66" s="31" t="s">
        <v>23</v>
      </c>
      <c r="E66" s="32"/>
      <c r="F66" s="33"/>
      <c r="G66" s="34"/>
      <c r="H66" s="34"/>
      <c r="I66" s="34">
        <f>SUM(I67:I84)</f>
        <v>103222955</v>
      </c>
      <c r="J66" s="34"/>
    </row>
    <row r="67" spans="1:10" s="10" customFormat="1" ht="237">
      <c r="A67" s="27" t="s">
        <v>223</v>
      </c>
      <c r="B67" s="27" t="s">
        <v>20</v>
      </c>
      <c r="C67" s="27" t="s">
        <v>12</v>
      </c>
      <c r="D67" s="28" t="s">
        <v>21</v>
      </c>
      <c r="E67" s="36" t="s">
        <v>234</v>
      </c>
      <c r="F67" s="26" t="s">
        <v>152</v>
      </c>
      <c r="G67" s="78">
        <v>4540081.4</v>
      </c>
      <c r="H67" s="26">
        <v>0</v>
      </c>
      <c r="I67" s="26">
        <v>3042950</v>
      </c>
      <c r="J67" s="26">
        <v>67</v>
      </c>
    </row>
    <row r="68" spans="1:10" s="10" customFormat="1" ht="279">
      <c r="A68" s="27" t="s">
        <v>223</v>
      </c>
      <c r="B68" s="27" t="s">
        <v>20</v>
      </c>
      <c r="C68" s="27" t="s">
        <v>12</v>
      </c>
      <c r="D68" s="28" t="s">
        <v>21</v>
      </c>
      <c r="E68" s="36" t="s">
        <v>235</v>
      </c>
      <c r="F68" s="26" t="s">
        <v>152</v>
      </c>
      <c r="G68" s="78">
        <v>3791515.7</v>
      </c>
      <c r="H68" s="26">
        <v>0</v>
      </c>
      <c r="I68" s="26">
        <v>1217180</v>
      </c>
      <c r="J68" s="26">
        <v>32</v>
      </c>
    </row>
    <row r="69" spans="1:10" s="10" customFormat="1" ht="97.5">
      <c r="A69" s="27" t="s">
        <v>223</v>
      </c>
      <c r="B69" s="27" t="s">
        <v>20</v>
      </c>
      <c r="C69" s="27" t="s">
        <v>12</v>
      </c>
      <c r="D69" s="28" t="s">
        <v>21</v>
      </c>
      <c r="E69" s="36" t="s">
        <v>236</v>
      </c>
      <c r="F69" s="26" t="s">
        <v>152</v>
      </c>
      <c r="G69" s="26">
        <v>12050082</v>
      </c>
      <c r="H69" s="26">
        <v>0</v>
      </c>
      <c r="I69" s="26">
        <v>6155445</v>
      </c>
      <c r="J69" s="26">
        <v>51</v>
      </c>
    </row>
    <row r="70" spans="1:10" s="10" customFormat="1" ht="195">
      <c r="A70" s="27" t="s">
        <v>223</v>
      </c>
      <c r="B70" s="27" t="s">
        <v>20</v>
      </c>
      <c r="C70" s="27" t="s">
        <v>12</v>
      </c>
      <c r="D70" s="28" t="s">
        <v>21</v>
      </c>
      <c r="E70" s="36" t="s">
        <v>237</v>
      </c>
      <c r="F70" s="26" t="s">
        <v>152</v>
      </c>
      <c r="G70" s="26">
        <v>4990438</v>
      </c>
      <c r="H70" s="26">
        <v>0</v>
      </c>
      <c r="I70" s="26">
        <v>3347245</v>
      </c>
      <c r="J70" s="26">
        <v>67</v>
      </c>
    </row>
    <row r="71" spans="1:10" s="10" customFormat="1" ht="237">
      <c r="A71" s="27" t="s">
        <v>223</v>
      </c>
      <c r="B71" s="27" t="s">
        <v>20</v>
      </c>
      <c r="C71" s="27" t="s">
        <v>12</v>
      </c>
      <c r="D71" s="28" t="s">
        <v>21</v>
      </c>
      <c r="E71" s="36" t="s">
        <v>238</v>
      </c>
      <c r="F71" s="26" t="s">
        <v>152</v>
      </c>
      <c r="G71" s="78">
        <v>6670146.4</v>
      </c>
      <c r="H71" s="26">
        <v>0</v>
      </c>
      <c r="I71" s="26">
        <v>1217180</v>
      </c>
      <c r="J71" s="26">
        <v>18</v>
      </c>
    </row>
    <row r="72" spans="1:10" s="10" customFormat="1" ht="72" customHeight="1">
      <c r="A72" s="27" t="s">
        <v>25</v>
      </c>
      <c r="B72" s="27" t="s">
        <v>11</v>
      </c>
      <c r="C72" s="27" t="s">
        <v>12</v>
      </c>
      <c r="D72" s="35" t="s">
        <v>13</v>
      </c>
      <c r="E72" s="36" t="s">
        <v>58</v>
      </c>
      <c r="F72" s="26" t="s">
        <v>63</v>
      </c>
      <c r="G72" s="26">
        <v>11378878</v>
      </c>
      <c r="H72" s="26">
        <v>38</v>
      </c>
      <c r="I72" s="26">
        <f>6563100-5555000</f>
        <v>1008100</v>
      </c>
      <c r="J72" s="26">
        <v>47</v>
      </c>
    </row>
    <row r="73" spans="1:10" s="10" customFormat="1" ht="72" customHeight="1">
      <c r="A73" s="27" t="s">
        <v>25</v>
      </c>
      <c r="B73" s="27" t="s">
        <v>11</v>
      </c>
      <c r="C73" s="27" t="s">
        <v>12</v>
      </c>
      <c r="D73" s="35" t="s">
        <v>13</v>
      </c>
      <c r="E73" s="36" t="s">
        <v>208</v>
      </c>
      <c r="F73" s="26" t="s">
        <v>63</v>
      </c>
      <c r="G73" s="26">
        <v>17995513</v>
      </c>
      <c r="H73" s="26">
        <v>43</v>
      </c>
      <c r="I73" s="26">
        <f>3804000</f>
        <v>3804000</v>
      </c>
      <c r="J73" s="26">
        <v>64</v>
      </c>
    </row>
    <row r="74" spans="1:10" s="10" customFormat="1" ht="87.75" customHeight="1">
      <c r="A74" s="27" t="s">
        <v>25</v>
      </c>
      <c r="B74" s="27" t="s">
        <v>11</v>
      </c>
      <c r="C74" s="27" t="s">
        <v>12</v>
      </c>
      <c r="D74" s="35" t="s">
        <v>13</v>
      </c>
      <c r="E74" s="36" t="s">
        <v>26</v>
      </c>
      <c r="F74" s="26" t="s">
        <v>63</v>
      </c>
      <c r="G74" s="26">
        <v>16269091</v>
      </c>
      <c r="H74" s="26">
        <v>42</v>
      </c>
      <c r="I74" s="26">
        <f>4500000-4197167-2971</f>
        <v>299862</v>
      </c>
      <c r="J74" s="26">
        <v>43</v>
      </c>
    </row>
    <row r="75" spans="1:10" s="10" customFormat="1" ht="71.25" customHeight="1">
      <c r="A75" s="27" t="s">
        <v>25</v>
      </c>
      <c r="B75" s="27" t="s">
        <v>11</v>
      </c>
      <c r="C75" s="27" t="s">
        <v>12</v>
      </c>
      <c r="D75" s="35" t="s">
        <v>13</v>
      </c>
      <c r="E75" s="37" t="s">
        <v>46</v>
      </c>
      <c r="F75" s="26" t="s">
        <v>44</v>
      </c>
      <c r="G75" s="26">
        <v>30679614</v>
      </c>
      <c r="H75" s="26">
        <v>17</v>
      </c>
      <c r="I75" s="26">
        <f>5000000+2700000-7200000-125000-42106</f>
        <v>332894</v>
      </c>
      <c r="J75" s="26">
        <v>18</v>
      </c>
    </row>
    <row r="76" spans="1:10" s="10" customFormat="1" ht="88.5" customHeight="1">
      <c r="A76" s="27" t="s">
        <v>25</v>
      </c>
      <c r="B76" s="27" t="s">
        <v>11</v>
      </c>
      <c r="C76" s="27" t="s">
        <v>12</v>
      </c>
      <c r="D76" s="35" t="s">
        <v>13</v>
      </c>
      <c r="E76" s="36" t="s">
        <v>27</v>
      </c>
      <c r="F76" s="26" t="s">
        <v>144</v>
      </c>
      <c r="G76" s="26">
        <v>20565725</v>
      </c>
      <c r="H76" s="26">
        <v>18</v>
      </c>
      <c r="I76" s="26">
        <f>3000000+2000000-807852</f>
        <v>4192148</v>
      </c>
      <c r="J76" s="26">
        <v>38</v>
      </c>
    </row>
    <row r="77" spans="1:10" s="10" customFormat="1" ht="83.25" customHeight="1">
      <c r="A77" s="27" t="s">
        <v>25</v>
      </c>
      <c r="B77" s="27" t="s">
        <v>11</v>
      </c>
      <c r="C77" s="27" t="s">
        <v>12</v>
      </c>
      <c r="D77" s="35" t="s">
        <v>13</v>
      </c>
      <c r="E77" s="38" t="s">
        <v>47</v>
      </c>
      <c r="F77" s="26" t="s">
        <v>63</v>
      </c>
      <c r="G77" s="26">
        <v>25849104</v>
      </c>
      <c r="H77" s="26">
        <v>31</v>
      </c>
      <c r="I77" s="26">
        <f>8020000+2700000-3518105-3260000</f>
        <v>3941895</v>
      </c>
      <c r="J77" s="26">
        <v>46</v>
      </c>
    </row>
    <row r="78" spans="1:10" s="10" customFormat="1" ht="72.75" customHeight="1">
      <c r="A78" s="27" t="s">
        <v>25</v>
      </c>
      <c r="B78" s="27" t="s">
        <v>11</v>
      </c>
      <c r="C78" s="27" t="s">
        <v>12</v>
      </c>
      <c r="D78" s="35" t="s">
        <v>13</v>
      </c>
      <c r="E78" s="38" t="s">
        <v>48</v>
      </c>
      <c r="F78" s="26" t="s">
        <v>44</v>
      </c>
      <c r="G78" s="26">
        <v>3154463</v>
      </c>
      <c r="H78" s="26">
        <v>3</v>
      </c>
      <c r="I78" s="26">
        <f>3042000-2742000-200000</f>
        <v>100000</v>
      </c>
      <c r="J78" s="26">
        <v>7</v>
      </c>
    </row>
    <row r="79" spans="1:10" s="10" customFormat="1" ht="70.5" customHeight="1">
      <c r="A79" s="27" t="s">
        <v>25</v>
      </c>
      <c r="B79" s="27" t="s">
        <v>11</v>
      </c>
      <c r="C79" s="27" t="s">
        <v>12</v>
      </c>
      <c r="D79" s="35" t="s">
        <v>13</v>
      </c>
      <c r="E79" s="38" t="s">
        <v>40</v>
      </c>
      <c r="F79" s="26" t="s">
        <v>63</v>
      </c>
      <c r="G79" s="26">
        <v>9162684</v>
      </c>
      <c r="H79" s="26">
        <v>25</v>
      </c>
      <c r="I79" s="26">
        <f>6876000-1898780</f>
        <v>4977220</v>
      </c>
      <c r="J79" s="26">
        <v>79</v>
      </c>
    </row>
    <row r="80" spans="1:10" s="10" customFormat="1" ht="93.75" customHeight="1">
      <c r="A80" s="27" t="s">
        <v>25</v>
      </c>
      <c r="B80" s="27" t="s">
        <v>11</v>
      </c>
      <c r="C80" s="27" t="s">
        <v>12</v>
      </c>
      <c r="D80" s="35" t="s">
        <v>13</v>
      </c>
      <c r="E80" s="38" t="s">
        <v>203</v>
      </c>
      <c r="F80" s="26" t="s">
        <v>43</v>
      </c>
      <c r="G80" s="26">
        <v>11746858</v>
      </c>
      <c r="H80" s="26">
        <v>97</v>
      </c>
      <c r="I80" s="26">
        <v>50000</v>
      </c>
      <c r="J80" s="26">
        <v>98</v>
      </c>
    </row>
    <row r="81" spans="1:10" s="10" customFormat="1" ht="71.25" customHeight="1">
      <c r="A81" s="27" t="s">
        <v>25</v>
      </c>
      <c r="B81" s="27" t="s">
        <v>11</v>
      </c>
      <c r="C81" s="27" t="s">
        <v>12</v>
      </c>
      <c r="D81" s="35" t="s">
        <v>13</v>
      </c>
      <c r="E81" s="38" t="s">
        <v>204</v>
      </c>
      <c r="F81" s="26" t="s">
        <v>202</v>
      </c>
      <c r="G81" s="26">
        <v>3500000</v>
      </c>
      <c r="H81" s="26">
        <v>9</v>
      </c>
      <c r="I81" s="26">
        <v>138500</v>
      </c>
      <c r="J81" s="26">
        <v>13</v>
      </c>
    </row>
    <row r="82" spans="1:10" s="10" customFormat="1" ht="77.25" customHeight="1">
      <c r="A82" s="44" t="s">
        <v>25</v>
      </c>
      <c r="B82" s="44" t="s">
        <v>11</v>
      </c>
      <c r="C82" s="44" t="s">
        <v>12</v>
      </c>
      <c r="D82" s="35" t="s">
        <v>13</v>
      </c>
      <c r="E82" s="86" t="s">
        <v>201</v>
      </c>
      <c r="F82" s="39" t="s">
        <v>202</v>
      </c>
      <c r="G82" s="39">
        <v>78000000</v>
      </c>
      <c r="H82" s="39">
        <v>1</v>
      </c>
      <c r="I82" s="39">
        <v>535115</v>
      </c>
      <c r="J82" s="26">
        <v>2</v>
      </c>
    </row>
    <row r="83" spans="1:10" s="10" customFormat="1" ht="84.75" customHeight="1">
      <c r="A83" s="27" t="s">
        <v>25</v>
      </c>
      <c r="B83" s="27" t="s">
        <v>11</v>
      </c>
      <c r="C83" s="27" t="s">
        <v>12</v>
      </c>
      <c r="D83" s="35" t="s">
        <v>13</v>
      </c>
      <c r="E83" s="38" t="s">
        <v>61</v>
      </c>
      <c r="F83" s="26" t="s">
        <v>62</v>
      </c>
      <c r="G83" s="26">
        <v>24512250</v>
      </c>
      <c r="H83" s="26">
        <v>2</v>
      </c>
      <c r="I83" s="26">
        <f>7000000-2000000-3350000</f>
        <v>1650000</v>
      </c>
      <c r="J83" s="26">
        <v>9</v>
      </c>
    </row>
    <row r="84" spans="1:10" s="10" customFormat="1" ht="27.75" customHeight="1">
      <c r="A84" s="27" t="s">
        <v>114</v>
      </c>
      <c r="B84" s="27" t="s">
        <v>115</v>
      </c>
      <c r="C84" s="27" t="s">
        <v>116</v>
      </c>
      <c r="D84" s="35" t="s">
        <v>117</v>
      </c>
      <c r="E84" s="38" t="s">
        <v>146</v>
      </c>
      <c r="F84" s="26"/>
      <c r="G84" s="26"/>
      <c r="H84" s="26"/>
      <c r="I84" s="26">
        <f>46236900+15715272+6940000+2000000-3678951</f>
        <v>67213221</v>
      </c>
      <c r="J84" s="26"/>
    </row>
    <row r="85" spans="1:10" s="10" customFormat="1" ht="33" customHeight="1">
      <c r="A85" s="30" t="s">
        <v>28</v>
      </c>
      <c r="B85" s="30"/>
      <c r="C85" s="30"/>
      <c r="D85" s="31" t="s">
        <v>29</v>
      </c>
      <c r="E85" s="32"/>
      <c r="F85" s="33"/>
      <c r="G85" s="34"/>
      <c r="H85" s="34"/>
      <c r="I85" s="57">
        <f>I86</f>
        <v>138539937.97</v>
      </c>
      <c r="J85" s="34"/>
    </row>
    <row r="86" spans="1:10" s="10" customFormat="1" ht="33.75" customHeight="1">
      <c r="A86" s="30" t="s">
        <v>30</v>
      </c>
      <c r="B86" s="30"/>
      <c r="C86" s="30"/>
      <c r="D86" s="31" t="s">
        <v>29</v>
      </c>
      <c r="E86" s="32"/>
      <c r="F86" s="33"/>
      <c r="G86" s="34"/>
      <c r="H86" s="34"/>
      <c r="I86" s="57">
        <f>SUM(I87:I118)</f>
        <v>138539937.97</v>
      </c>
      <c r="J86" s="34"/>
    </row>
    <row r="87" spans="1:10" s="10" customFormat="1" ht="72.75" customHeight="1">
      <c r="A87" s="27" t="s">
        <v>31</v>
      </c>
      <c r="B87" s="27" t="s">
        <v>20</v>
      </c>
      <c r="C87" s="27" t="s">
        <v>12</v>
      </c>
      <c r="D87" s="28" t="s">
        <v>21</v>
      </c>
      <c r="E87" s="29" t="s">
        <v>192</v>
      </c>
      <c r="F87" s="25" t="s">
        <v>44</v>
      </c>
      <c r="G87" s="26">
        <v>7127205</v>
      </c>
      <c r="H87" s="26">
        <v>15</v>
      </c>
      <c r="I87" s="26">
        <f>6605050-1029227</f>
        <v>5575823</v>
      </c>
      <c r="J87" s="26">
        <v>100</v>
      </c>
    </row>
    <row r="88" spans="1:10" s="10" customFormat="1" ht="29.25" customHeight="1">
      <c r="A88" s="27" t="s">
        <v>32</v>
      </c>
      <c r="B88" s="27" t="s">
        <v>11</v>
      </c>
      <c r="C88" s="27" t="s">
        <v>12</v>
      </c>
      <c r="D88" s="28" t="s">
        <v>13</v>
      </c>
      <c r="E88" s="29" t="s">
        <v>146</v>
      </c>
      <c r="F88" s="25"/>
      <c r="G88" s="26"/>
      <c r="H88" s="26"/>
      <c r="I88" s="26">
        <f>41715336+2503706+200000-20000+880000-492960+200000+1518227+110000-19994+49550-4454-24244-4026-5672-1330-6482+380000-392372+2200000-6700-207000-14100-45282</f>
        <v>48512203</v>
      </c>
      <c r="J88" s="26"/>
    </row>
    <row r="89" spans="1:10" s="10" customFormat="1" ht="69.75" customHeight="1">
      <c r="A89" s="27" t="s">
        <v>32</v>
      </c>
      <c r="B89" s="27" t="s">
        <v>11</v>
      </c>
      <c r="C89" s="27" t="s">
        <v>12</v>
      </c>
      <c r="D89" s="28" t="s">
        <v>13</v>
      </c>
      <c r="E89" s="87" t="s">
        <v>207</v>
      </c>
      <c r="F89" s="25" t="s">
        <v>89</v>
      </c>
      <c r="G89" s="26">
        <v>49919287</v>
      </c>
      <c r="H89" s="26">
        <v>3</v>
      </c>
      <c r="I89" s="26">
        <f>5000000-150000+150000-300000</f>
        <v>4700000</v>
      </c>
      <c r="J89" s="26">
        <v>12</v>
      </c>
    </row>
    <row r="90" spans="1:10" s="10" customFormat="1" ht="74.25" customHeight="1">
      <c r="A90" s="27" t="s">
        <v>32</v>
      </c>
      <c r="B90" s="27" t="s">
        <v>11</v>
      </c>
      <c r="C90" s="27" t="s">
        <v>12</v>
      </c>
      <c r="D90" s="28" t="s">
        <v>13</v>
      </c>
      <c r="E90" s="29" t="s">
        <v>140</v>
      </c>
      <c r="F90" s="25" t="s">
        <v>193</v>
      </c>
      <c r="G90" s="26">
        <v>112701232</v>
      </c>
      <c r="H90" s="26">
        <v>6</v>
      </c>
      <c r="I90" s="26">
        <f>2000000-1952831</f>
        <v>47169</v>
      </c>
      <c r="J90" s="26">
        <v>6</v>
      </c>
    </row>
    <row r="91" spans="1:10" s="10" customFormat="1" ht="66.75" customHeight="1">
      <c r="A91" s="27" t="s">
        <v>32</v>
      </c>
      <c r="B91" s="27" t="s">
        <v>11</v>
      </c>
      <c r="C91" s="27" t="s">
        <v>12</v>
      </c>
      <c r="D91" s="28" t="s">
        <v>13</v>
      </c>
      <c r="E91" s="29" t="s">
        <v>169</v>
      </c>
      <c r="F91" s="25" t="s">
        <v>193</v>
      </c>
      <c r="G91" s="26">
        <v>3350967</v>
      </c>
      <c r="H91" s="26">
        <v>59</v>
      </c>
      <c r="I91" s="26">
        <f>1518284-968284-488427</f>
        <v>61573</v>
      </c>
      <c r="J91" s="26">
        <v>61</v>
      </c>
    </row>
    <row r="92" spans="1:10" s="10" customFormat="1" ht="56.25" customHeight="1">
      <c r="A92" s="27" t="s">
        <v>32</v>
      </c>
      <c r="B92" s="27" t="s">
        <v>11</v>
      </c>
      <c r="C92" s="27" t="s">
        <v>12</v>
      </c>
      <c r="D92" s="28" t="s">
        <v>13</v>
      </c>
      <c r="E92" s="29" t="s">
        <v>171</v>
      </c>
      <c r="F92" s="25" t="s">
        <v>160</v>
      </c>
      <c r="G92" s="26">
        <v>5578291</v>
      </c>
      <c r="H92" s="26">
        <v>76</v>
      </c>
      <c r="I92" s="26">
        <f>1850552-380000</f>
        <v>1470552</v>
      </c>
      <c r="J92" s="26">
        <v>100</v>
      </c>
    </row>
    <row r="93" spans="1:10" s="10" customFormat="1" ht="75" customHeight="1">
      <c r="A93" s="27" t="s">
        <v>32</v>
      </c>
      <c r="B93" s="27" t="s">
        <v>11</v>
      </c>
      <c r="C93" s="27" t="s">
        <v>12</v>
      </c>
      <c r="D93" s="28" t="s">
        <v>13</v>
      </c>
      <c r="E93" s="29" t="s">
        <v>147</v>
      </c>
      <c r="F93" s="25" t="s">
        <v>44</v>
      </c>
      <c r="G93" s="26">
        <f>67272039+4892961</f>
        <v>72165000</v>
      </c>
      <c r="H93" s="26">
        <v>1</v>
      </c>
      <c r="I93" s="26">
        <f>568833+129999-1521</f>
        <v>697311</v>
      </c>
      <c r="J93" s="26">
        <v>2</v>
      </c>
    </row>
    <row r="94" spans="1:10" s="10" customFormat="1" ht="75" customHeight="1">
      <c r="A94" s="44" t="s">
        <v>32</v>
      </c>
      <c r="B94" s="44" t="s">
        <v>11</v>
      </c>
      <c r="C94" s="44" t="s">
        <v>12</v>
      </c>
      <c r="D94" s="38" t="s">
        <v>13</v>
      </c>
      <c r="E94" s="36" t="s">
        <v>227</v>
      </c>
      <c r="F94" s="44" t="s">
        <v>89</v>
      </c>
      <c r="G94" s="26">
        <f>1600000+100045</f>
        <v>1700045</v>
      </c>
      <c r="H94" s="26">
        <v>53</v>
      </c>
      <c r="I94" s="26">
        <v>700495</v>
      </c>
      <c r="J94" s="26">
        <v>94</v>
      </c>
    </row>
    <row r="95" spans="1:10" s="10" customFormat="1" ht="75" customHeight="1">
      <c r="A95" s="27" t="s">
        <v>32</v>
      </c>
      <c r="B95" s="27" t="s">
        <v>11</v>
      </c>
      <c r="C95" s="27" t="s">
        <v>12</v>
      </c>
      <c r="D95" s="28" t="s">
        <v>13</v>
      </c>
      <c r="E95" s="29" t="s">
        <v>222</v>
      </c>
      <c r="F95" s="25" t="s">
        <v>89</v>
      </c>
      <c r="G95" s="26">
        <f>1600000+89022</f>
        <v>1689022</v>
      </c>
      <c r="H95" s="26">
        <v>53</v>
      </c>
      <c r="I95" s="26">
        <f>690000-775</f>
        <v>689225</v>
      </c>
      <c r="J95" s="26">
        <v>94</v>
      </c>
    </row>
    <row r="96" spans="1:10" s="10" customFormat="1" ht="75" customHeight="1">
      <c r="A96" s="44" t="s">
        <v>32</v>
      </c>
      <c r="B96" s="44" t="s">
        <v>11</v>
      </c>
      <c r="C96" s="44" t="s">
        <v>12</v>
      </c>
      <c r="D96" s="38" t="s">
        <v>13</v>
      </c>
      <c r="E96" s="36" t="s">
        <v>228</v>
      </c>
      <c r="F96" s="44" t="s">
        <v>89</v>
      </c>
      <c r="G96" s="26">
        <f>1600000+89016</f>
        <v>1689016</v>
      </c>
      <c r="H96" s="26">
        <v>56</v>
      </c>
      <c r="I96" s="26">
        <f>646336-8676</f>
        <v>637660</v>
      </c>
      <c r="J96" s="26">
        <v>94</v>
      </c>
    </row>
    <row r="97" spans="1:10" s="10" customFormat="1" ht="67.5" customHeight="1">
      <c r="A97" s="44" t="s">
        <v>32</v>
      </c>
      <c r="B97" s="44" t="s">
        <v>11</v>
      </c>
      <c r="C97" s="44" t="s">
        <v>12</v>
      </c>
      <c r="D97" s="38" t="s">
        <v>13</v>
      </c>
      <c r="E97" s="29" t="s">
        <v>213</v>
      </c>
      <c r="F97" s="25" t="s">
        <v>88</v>
      </c>
      <c r="G97" s="26">
        <v>50000000</v>
      </c>
      <c r="H97" s="26">
        <v>0</v>
      </c>
      <c r="I97" s="26">
        <f>10000-52</f>
        <v>9948</v>
      </c>
      <c r="J97" s="26">
        <v>1</v>
      </c>
    </row>
    <row r="98" spans="1:11" s="10" customFormat="1" ht="69" customHeight="1">
      <c r="A98" s="44" t="s">
        <v>32</v>
      </c>
      <c r="B98" s="44" t="s">
        <v>11</v>
      </c>
      <c r="C98" s="44" t="s">
        <v>12</v>
      </c>
      <c r="D98" s="38" t="s">
        <v>13</v>
      </c>
      <c r="E98" s="29" t="s">
        <v>211</v>
      </c>
      <c r="F98" s="25" t="s">
        <v>193</v>
      </c>
      <c r="G98" s="26">
        <v>6134807</v>
      </c>
      <c r="H98" s="26">
        <v>0</v>
      </c>
      <c r="I98" s="26">
        <f>2636481-1527838</f>
        <v>1108643</v>
      </c>
      <c r="J98" s="26">
        <v>97</v>
      </c>
      <c r="K98" s="61"/>
    </row>
    <row r="99" spans="1:11" s="10" customFormat="1" ht="70.5" customHeight="1">
      <c r="A99" s="27" t="s">
        <v>32</v>
      </c>
      <c r="B99" s="27" t="s">
        <v>11</v>
      </c>
      <c r="C99" s="27" t="s">
        <v>12</v>
      </c>
      <c r="D99" s="28" t="s">
        <v>13</v>
      </c>
      <c r="E99" s="29" t="s">
        <v>164</v>
      </c>
      <c r="F99" s="25" t="s">
        <v>44</v>
      </c>
      <c r="G99" s="26">
        <v>1536560</v>
      </c>
      <c r="H99" s="26">
        <v>1.3</v>
      </c>
      <c r="I99" s="26">
        <f>50000+1466362-122736-149276</f>
        <v>1244350</v>
      </c>
      <c r="J99" s="26">
        <v>86</v>
      </c>
      <c r="K99" s="61"/>
    </row>
    <row r="100" spans="1:11" s="10" customFormat="1" ht="70.5" customHeight="1">
      <c r="A100" s="27" t="s">
        <v>32</v>
      </c>
      <c r="B100" s="27" t="s">
        <v>11</v>
      </c>
      <c r="C100" s="27" t="s">
        <v>12</v>
      </c>
      <c r="D100" s="28" t="s">
        <v>13</v>
      </c>
      <c r="E100" s="29" t="s">
        <v>165</v>
      </c>
      <c r="F100" s="25" t="s">
        <v>44</v>
      </c>
      <c r="G100" s="26">
        <v>1689022</v>
      </c>
      <c r="H100" s="26">
        <v>2.6</v>
      </c>
      <c r="I100" s="26">
        <f>100000+1544076-125728</f>
        <v>1518348</v>
      </c>
      <c r="J100" s="26">
        <v>93</v>
      </c>
      <c r="K100" s="61"/>
    </row>
    <row r="101" spans="1:10" s="10" customFormat="1" ht="61.5" customHeight="1">
      <c r="A101" s="27" t="s">
        <v>32</v>
      </c>
      <c r="B101" s="27" t="s">
        <v>11</v>
      </c>
      <c r="C101" s="27" t="s">
        <v>12</v>
      </c>
      <c r="D101" s="28" t="s">
        <v>13</v>
      </c>
      <c r="E101" s="29" t="s">
        <v>226</v>
      </c>
      <c r="F101" s="25" t="s">
        <v>160</v>
      </c>
      <c r="G101" s="26">
        <v>125878779</v>
      </c>
      <c r="H101" s="26">
        <v>4</v>
      </c>
      <c r="I101" s="26">
        <f>65000-3800</f>
        <v>61200</v>
      </c>
      <c r="J101" s="26">
        <v>5</v>
      </c>
    </row>
    <row r="102" spans="1:10" s="10" customFormat="1" ht="70.5" customHeight="1">
      <c r="A102" s="27" t="s">
        <v>39</v>
      </c>
      <c r="B102" s="27" t="s">
        <v>14</v>
      </c>
      <c r="C102" s="27" t="s">
        <v>12</v>
      </c>
      <c r="D102" s="28" t="s">
        <v>15</v>
      </c>
      <c r="E102" s="29" t="s">
        <v>146</v>
      </c>
      <c r="F102" s="25"/>
      <c r="G102" s="26"/>
      <c r="H102" s="26"/>
      <c r="I102" s="26">
        <f>9587720+2579999+450000+20000</f>
        <v>12637719</v>
      </c>
      <c r="J102" s="26"/>
    </row>
    <row r="103" spans="1:10" s="10" customFormat="1" ht="91.5" customHeight="1">
      <c r="A103" s="44" t="s">
        <v>39</v>
      </c>
      <c r="B103" s="44" t="s">
        <v>14</v>
      </c>
      <c r="C103" s="44" t="s">
        <v>12</v>
      </c>
      <c r="D103" s="38" t="s">
        <v>15</v>
      </c>
      <c r="E103" s="29" t="s">
        <v>212</v>
      </c>
      <c r="F103" s="25" t="s">
        <v>210</v>
      </c>
      <c r="G103" s="26">
        <v>14800000</v>
      </c>
      <c r="H103" s="26">
        <v>0</v>
      </c>
      <c r="I103" s="26">
        <v>10000</v>
      </c>
      <c r="J103" s="26">
        <v>1</v>
      </c>
    </row>
    <row r="104" spans="1:10" s="10" customFormat="1" ht="83.25">
      <c r="A104" s="27" t="s">
        <v>39</v>
      </c>
      <c r="B104" s="27" t="s">
        <v>14</v>
      </c>
      <c r="C104" s="27" t="s">
        <v>12</v>
      </c>
      <c r="D104" s="28" t="s">
        <v>15</v>
      </c>
      <c r="E104" s="29" t="s">
        <v>189</v>
      </c>
      <c r="F104" s="25" t="s">
        <v>44</v>
      </c>
      <c r="G104" s="26">
        <v>14479689</v>
      </c>
      <c r="H104" s="26">
        <v>24</v>
      </c>
      <c r="I104" s="26">
        <f>7881013+1113335+1419396+780000</f>
        <v>11193744</v>
      </c>
      <c r="J104" s="26">
        <v>100</v>
      </c>
    </row>
    <row r="105" spans="1:10" s="10" customFormat="1" ht="45" customHeight="1">
      <c r="A105" s="27" t="s">
        <v>155</v>
      </c>
      <c r="B105" s="27" t="s">
        <v>156</v>
      </c>
      <c r="C105" s="27" t="s">
        <v>12</v>
      </c>
      <c r="D105" s="28" t="s">
        <v>157</v>
      </c>
      <c r="E105" s="29" t="s">
        <v>146</v>
      </c>
      <c r="F105" s="25"/>
      <c r="G105" s="26"/>
      <c r="H105" s="26"/>
      <c r="I105" s="26">
        <f>6235451+1800000-190452-1699479</f>
        <v>6145520</v>
      </c>
      <c r="J105" s="26"/>
    </row>
    <row r="106" spans="1:11" s="10" customFormat="1" ht="66.75" customHeight="1">
      <c r="A106" s="27" t="s">
        <v>74</v>
      </c>
      <c r="B106" s="27" t="s">
        <v>56</v>
      </c>
      <c r="C106" s="27" t="s">
        <v>12</v>
      </c>
      <c r="D106" s="28" t="s">
        <v>57</v>
      </c>
      <c r="E106" s="81" t="s">
        <v>75</v>
      </c>
      <c r="F106" s="25" t="s">
        <v>89</v>
      </c>
      <c r="G106" s="26">
        <v>24798852</v>
      </c>
      <c r="H106" s="26">
        <v>5</v>
      </c>
      <c r="I106" s="26">
        <f>5000000-2988305-15408</f>
        <v>1996287</v>
      </c>
      <c r="J106" s="26">
        <v>13</v>
      </c>
      <c r="K106" s="62"/>
    </row>
    <row r="107" spans="1:11" s="10" customFormat="1" ht="67.5" customHeight="1">
      <c r="A107" s="27" t="s">
        <v>74</v>
      </c>
      <c r="B107" s="27" t="s">
        <v>56</v>
      </c>
      <c r="C107" s="27" t="s">
        <v>12</v>
      </c>
      <c r="D107" s="28" t="s">
        <v>57</v>
      </c>
      <c r="E107" s="81" t="s">
        <v>218</v>
      </c>
      <c r="F107" s="25" t="s">
        <v>144</v>
      </c>
      <c r="G107" s="26">
        <v>22947931</v>
      </c>
      <c r="H107" s="26">
        <v>0</v>
      </c>
      <c r="I107" s="26">
        <f>8000000-2781974</f>
        <v>5218026</v>
      </c>
      <c r="J107" s="26">
        <v>24</v>
      </c>
      <c r="K107" s="62"/>
    </row>
    <row r="108" spans="1:10" s="10" customFormat="1" ht="42">
      <c r="A108" s="27" t="s">
        <v>74</v>
      </c>
      <c r="B108" s="27" t="s">
        <v>56</v>
      </c>
      <c r="C108" s="27" t="s">
        <v>12</v>
      </c>
      <c r="D108" s="28" t="s">
        <v>57</v>
      </c>
      <c r="E108" s="81" t="s">
        <v>196</v>
      </c>
      <c r="F108" s="25" t="s">
        <v>88</v>
      </c>
      <c r="G108" s="26">
        <v>57774168</v>
      </c>
      <c r="H108" s="26">
        <v>0</v>
      </c>
      <c r="I108" s="26">
        <f>400000-100000</f>
        <v>300000</v>
      </c>
      <c r="J108" s="26">
        <v>1</v>
      </c>
    </row>
    <row r="109" spans="1:10" s="10" customFormat="1" ht="58.5" customHeight="1">
      <c r="A109" s="27" t="s">
        <v>158</v>
      </c>
      <c r="B109" s="27" t="s">
        <v>50</v>
      </c>
      <c r="C109" s="27" t="s">
        <v>12</v>
      </c>
      <c r="D109" s="28" t="s">
        <v>49</v>
      </c>
      <c r="E109" s="29" t="s">
        <v>146</v>
      </c>
      <c r="F109" s="25"/>
      <c r="G109" s="26"/>
      <c r="H109" s="26"/>
      <c r="I109" s="26">
        <f>8700000+50000+150000+300000</f>
        <v>9200000</v>
      </c>
      <c r="J109" s="26"/>
    </row>
    <row r="110" spans="1:10" s="10" customFormat="1" ht="64.5" customHeight="1">
      <c r="A110" s="27" t="s">
        <v>158</v>
      </c>
      <c r="B110" s="27" t="s">
        <v>50</v>
      </c>
      <c r="C110" s="27" t="s">
        <v>12</v>
      </c>
      <c r="D110" s="28" t="s">
        <v>49</v>
      </c>
      <c r="E110" s="29" t="s">
        <v>259</v>
      </c>
      <c r="F110" s="25" t="s">
        <v>210</v>
      </c>
      <c r="G110" s="26">
        <v>85000000</v>
      </c>
      <c r="H110" s="26">
        <v>0</v>
      </c>
      <c r="I110" s="26">
        <v>50000</v>
      </c>
      <c r="J110" s="26">
        <v>1</v>
      </c>
    </row>
    <row r="111" spans="1:10" s="10" customFormat="1" ht="57" customHeight="1">
      <c r="A111" s="27" t="s">
        <v>33</v>
      </c>
      <c r="B111" s="27" t="s">
        <v>34</v>
      </c>
      <c r="C111" s="27" t="s">
        <v>12</v>
      </c>
      <c r="D111" s="28" t="s">
        <v>59</v>
      </c>
      <c r="E111" s="29" t="s">
        <v>141</v>
      </c>
      <c r="F111" s="25" t="s">
        <v>89</v>
      </c>
      <c r="G111" s="26">
        <v>48000000</v>
      </c>
      <c r="H111" s="26">
        <v>1</v>
      </c>
      <c r="I111" s="26">
        <f>1222340+10000-10000</f>
        <v>1222340</v>
      </c>
      <c r="J111" s="26">
        <v>3</v>
      </c>
    </row>
    <row r="112" spans="1:10" s="10" customFormat="1" ht="70.5" customHeight="1">
      <c r="A112" s="27" t="s">
        <v>65</v>
      </c>
      <c r="B112" s="27" t="s">
        <v>66</v>
      </c>
      <c r="C112" s="27" t="s">
        <v>12</v>
      </c>
      <c r="D112" s="28" t="s">
        <v>67</v>
      </c>
      <c r="E112" s="29" t="s">
        <v>166</v>
      </c>
      <c r="F112" s="25" t="s">
        <v>62</v>
      </c>
      <c r="G112" s="26">
        <v>7709272</v>
      </c>
      <c r="H112" s="26">
        <v>0</v>
      </c>
      <c r="I112" s="26">
        <f>849324+1345000</f>
        <v>2194324</v>
      </c>
      <c r="J112" s="26">
        <v>31</v>
      </c>
    </row>
    <row r="113" spans="1:10" s="10" customFormat="1" ht="64.5" customHeight="1">
      <c r="A113" s="27" t="s">
        <v>65</v>
      </c>
      <c r="B113" s="27" t="s">
        <v>66</v>
      </c>
      <c r="C113" s="27" t="s">
        <v>12</v>
      </c>
      <c r="D113" s="28" t="s">
        <v>67</v>
      </c>
      <c r="E113" s="29" t="s">
        <v>190</v>
      </c>
      <c r="F113" s="26" t="s">
        <v>202</v>
      </c>
      <c r="G113" s="26">
        <v>1941850</v>
      </c>
      <c r="H113" s="26">
        <v>4</v>
      </c>
      <c r="I113" s="26">
        <f>2229552-375150-1849402+1546500</f>
        <v>1551500</v>
      </c>
      <c r="J113" s="26">
        <v>84</v>
      </c>
    </row>
    <row r="114" spans="1:10" s="10" customFormat="1" ht="108.75" customHeight="1">
      <c r="A114" s="27" t="s">
        <v>183</v>
      </c>
      <c r="B114" s="27" t="s">
        <v>180</v>
      </c>
      <c r="C114" s="27" t="s">
        <v>181</v>
      </c>
      <c r="D114" s="28" t="s">
        <v>182</v>
      </c>
      <c r="E114" s="29" t="s">
        <v>241</v>
      </c>
      <c r="F114" s="25" t="s">
        <v>193</v>
      </c>
      <c r="G114" s="26">
        <v>6134807</v>
      </c>
      <c r="H114" s="26">
        <v>0</v>
      </c>
      <c r="I114" s="26">
        <v>3498326</v>
      </c>
      <c r="J114" s="26">
        <v>97</v>
      </c>
    </row>
    <row r="115" spans="1:10" s="10" customFormat="1" ht="72" customHeight="1">
      <c r="A115" s="27" t="s">
        <v>183</v>
      </c>
      <c r="B115" s="27" t="s">
        <v>180</v>
      </c>
      <c r="C115" s="27" t="s">
        <v>181</v>
      </c>
      <c r="D115" s="28" t="s">
        <v>182</v>
      </c>
      <c r="E115" s="38" t="s">
        <v>225</v>
      </c>
      <c r="F115" s="25"/>
      <c r="G115" s="26"/>
      <c r="H115" s="26"/>
      <c r="I115" s="26">
        <v>2295502</v>
      </c>
      <c r="J115" s="26"/>
    </row>
    <row r="116" spans="1:10" s="10" customFormat="1" ht="124.5" customHeight="1">
      <c r="A116" s="27" t="s">
        <v>183</v>
      </c>
      <c r="B116" s="27" t="s">
        <v>180</v>
      </c>
      <c r="C116" s="27" t="s">
        <v>181</v>
      </c>
      <c r="D116" s="28" t="s">
        <v>182</v>
      </c>
      <c r="E116" s="29" t="s">
        <v>242</v>
      </c>
      <c r="F116" s="25" t="s">
        <v>193</v>
      </c>
      <c r="G116" s="26">
        <v>112701232</v>
      </c>
      <c r="H116" s="26">
        <v>6</v>
      </c>
      <c r="I116" s="78">
        <f>55494.97</f>
        <v>55494.97</v>
      </c>
      <c r="J116" s="26">
        <v>6</v>
      </c>
    </row>
    <row r="117" spans="1:10" s="10" customFormat="1" ht="109.5" customHeight="1">
      <c r="A117" s="27" t="s">
        <v>244</v>
      </c>
      <c r="B117" s="27" t="s">
        <v>245</v>
      </c>
      <c r="C117" s="27" t="s">
        <v>181</v>
      </c>
      <c r="D117" s="28" t="s">
        <v>246</v>
      </c>
      <c r="E117" s="29" t="s">
        <v>240</v>
      </c>
      <c r="F117" s="25"/>
      <c r="G117" s="26"/>
      <c r="H117" s="26"/>
      <c r="I117" s="26">
        <v>5936655</v>
      </c>
      <c r="J117" s="26"/>
    </row>
    <row r="118" spans="1:10" s="10" customFormat="1" ht="125.25">
      <c r="A118" s="27" t="s">
        <v>244</v>
      </c>
      <c r="B118" s="27" t="s">
        <v>245</v>
      </c>
      <c r="C118" s="27" t="s">
        <v>181</v>
      </c>
      <c r="D118" s="28" t="s">
        <v>246</v>
      </c>
      <c r="E118" s="38" t="s">
        <v>239</v>
      </c>
      <c r="F118" s="26" t="s">
        <v>88</v>
      </c>
      <c r="G118" s="26">
        <v>12733142</v>
      </c>
      <c r="H118" s="69">
        <v>0</v>
      </c>
      <c r="I118" s="43">
        <v>8000000</v>
      </c>
      <c r="J118" s="43">
        <v>65</v>
      </c>
    </row>
    <row r="119" spans="1:10" s="10" customFormat="1" ht="48.75" customHeight="1">
      <c r="A119" s="71" t="s">
        <v>174</v>
      </c>
      <c r="B119" s="71"/>
      <c r="C119" s="71"/>
      <c r="D119" s="74" t="s">
        <v>173</v>
      </c>
      <c r="E119" s="29"/>
      <c r="F119" s="25"/>
      <c r="G119" s="26"/>
      <c r="H119" s="26"/>
      <c r="I119" s="34">
        <f>I120</f>
        <v>9670</v>
      </c>
      <c r="J119" s="26"/>
    </row>
    <row r="120" spans="1:10" s="10" customFormat="1" ht="63" customHeight="1">
      <c r="A120" s="71" t="s">
        <v>175</v>
      </c>
      <c r="B120" s="71"/>
      <c r="C120" s="71"/>
      <c r="D120" s="74" t="s">
        <v>173</v>
      </c>
      <c r="E120" s="29"/>
      <c r="F120" s="25"/>
      <c r="G120" s="26"/>
      <c r="H120" s="26"/>
      <c r="I120" s="34">
        <f>SUM(I121)</f>
        <v>9670</v>
      </c>
      <c r="J120" s="26"/>
    </row>
    <row r="121" spans="1:10" s="9" customFormat="1" ht="55.5">
      <c r="A121" s="44" t="s">
        <v>176</v>
      </c>
      <c r="B121" s="44" t="s">
        <v>34</v>
      </c>
      <c r="C121" s="44" t="s">
        <v>12</v>
      </c>
      <c r="D121" s="38" t="s">
        <v>59</v>
      </c>
      <c r="E121" s="29" t="s">
        <v>191</v>
      </c>
      <c r="F121" s="25" t="s">
        <v>177</v>
      </c>
      <c r="G121" s="26">
        <v>870000</v>
      </c>
      <c r="H121" s="26">
        <v>99</v>
      </c>
      <c r="I121" s="26">
        <v>9670</v>
      </c>
      <c r="J121" s="26">
        <v>100</v>
      </c>
    </row>
    <row r="122" spans="1:10" s="9" customFormat="1" ht="29.25" customHeight="1">
      <c r="A122" s="30" t="s">
        <v>35</v>
      </c>
      <c r="B122" s="30"/>
      <c r="C122" s="30"/>
      <c r="D122" s="31" t="s">
        <v>36</v>
      </c>
      <c r="E122" s="32"/>
      <c r="F122" s="33"/>
      <c r="G122" s="34"/>
      <c r="H122" s="34"/>
      <c r="I122" s="34">
        <f>I123</f>
        <v>27123000</v>
      </c>
      <c r="J122" s="34"/>
    </row>
    <row r="123" spans="1:10" s="4" customFormat="1" ht="40.5" customHeight="1">
      <c r="A123" s="30" t="s">
        <v>37</v>
      </c>
      <c r="B123" s="30"/>
      <c r="C123" s="30"/>
      <c r="D123" s="31" t="s">
        <v>36</v>
      </c>
      <c r="E123" s="32"/>
      <c r="F123" s="33"/>
      <c r="G123" s="34"/>
      <c r="H123" s="34"/>
      <c r="I123" s="34">
        <f>SUM(I124:I128)</f>
        <v>27123000</v>
      </c>
      <c r="J123" s="34"/>
    </row>
    <row r="124" spans="1:10" s="4" customFormat="1" ht="33.75" customHeight="1">
      <c r="A124" s="27" t="s">
        <v>118</v>
      </c>
      <c r="B124" s="27" t="s">
        <v>101</v>
      </c>
      <c r="C124" s="27" t="s">
        <v>163</v>
      </c>
      <c r="D124" s="28" t="s">
        <v>103</v>
      </c>
      <c r="E124" s="38" t="s">
        <v>146</v>
      </c>
      <c r="F124" s="44"/>
      <c r="G124" s="26"/>
      <c r="H124" s="26"/>
      <c r="I124" s="43">
        <f>6120000+682000</f>
        <v>6802000</v>
      </c>
      <c r="J124" s="43"/>
    </row>
    <row r="125" spans="1:10" s="10" customFormat="1" ht="72" customHeight="1">
      <c r="A125" s="27" t="s">
        <v>119</v>
      </c>
      <c r="B125" s="27" t="s">
        <v>107</v>
      </c>
      <c r="C125" s="27" t="s">
        <v>102</v>
      </c>
      <c r="D125" s="28" t="s">
        <v>108</v>
      </c>
      <c r="E125" s="38" t="s">
        <v>146</v>
      </c>
      <c r="F125" s="44"/>
      <c r="G125" s="26"/>
      <c r="H125" s="26"/>
      <c r="I125" s="43">
        <f>13609000-631000</f>
        <v>12978000</v>
      </c>
      <c r="J125" s="43"/>
    </row>
    <row r="126" spans="1:10" s="10" customFormat="1" ht="85.5" customHeight="1">
      <c r="A126" s="27" t="s">
        <v>38</v>
      </c>
      <c r="B126" s="27" t="s">
        <v>20</v>
      </c>
      <c r="C126" s="27" t="s">
        <v>12</v>
      </c>
      <c r="D126" s="28" t="s">
        <v>21</v>
      </c>
      <c r="E126" s="36" t="s">
        <v>87</v>
      </c>
      <c r="F126" s="25" t="s">
        <v>152</v>
      </c>
      <c r="G126" s="26">
        <v>1400000</v>
      </c>
      <c r="H126" s="26">
        <v>0</v>
      </c>
      <c r="I126" s="26">
        <v>200000</v>
      </c>
      <c r="J126" s="26">
        <v>14</v>
      </c>
    </row>
    <row r="127" spans="1:13" s="10" customFormat="1" ht="78.75" customHeight="1">
      <c r="A127" s="27" t="s">
        <v>38</v>
      </c>
      <c r="B127" s="27" t="s">
        <v>20</v>
      </c>
      <c r="C127" s="27" t="s">
        <v>12</v>
      </c>
      <c r="D127" s="28" t="s">
        <v>21</v>
      </c>
      <c r="E127" s="36" t="s">
        <v>99</v>
      </c>
      <c r="F127" s="26" t="s">
        <v>89</v>
      </c>
      <c r="G127" s="26">
        <v>3385204</v>
      </c>
      <c r="H127" s="26">
        <v>6</v>
      </c>
      <c r="I127" s="26">
        <v>1000000</v>
      </c>
      <c r="J127" s="26">
        <v>36</v>
      </c>
      <c r="L127" s="41"/>
      <c r="M127" s="41"/>
    </row>
    <row r="128" spans="1:10" s="9" customFormat="1" ht="51.75" customHeight="1">
      <c r="A128" s="27" t="s">
        <v>120</v>
      </c>
      <c r="B128" s="27" t="s">
        <v>111</v>
      </c>
      <c r="C128" s="27" t="s">
        <v>112</v>
      </c>
      <c r="D128" s="28" t="s">
        <v>113</v>
      </c>
      <c r="E128" s="38" t="s">
        <v>146</v>
      </c>
      <c r="F128" s="26"/>
      <c r="G128" s="26"/>
      <c r="H128" s="26"/>
      <c r="I128" s="26">
        <f>6500000-900000+543000</f>
        <v>6143000</v>
      </c>
      <c r="J128" s="26"/>
    </row>
    <row r="129" spans="1:10" s="9" customFormat="1" ht="29.25" customHeight="1">
      <c r="A129" s="30" t="s">
        <v>90</v>
      </c>
      <c r="B129" s="30"/>
      <c r="C129" s="30"/>
      <c r="D129" s="31" t="s">
        <v>92</v>
      </c>
      <c r="E129" s="32"/>
      <c r="F129" s="33"/>
      <c r="G129" s="34"/>
      <c r="H129" s="34"/>
      <c r="I129" s="34">
        <f>I130</f>
        <v>34327300</v>
      </c>
      <c r="J129" s="34"/>
    </row>
    <row r="130" spans="1:10" s="4" customFormat="1" ht="33" customHeight="1">
      <c r="A130" s="30" t="s">
        <v>91</v>
      </c>
      <c r="B130" s="30"/>
      <c r="C130" s="30"/>
      <c r="D130" s="31" t="s">
        <v>92</v>
      </c>
      <c r="E130" s="32"/>
      <c r="F130" s="33"/>
      <c r="G130" s="34"/>
      <c r="H130" s="34"/>
      <c r="I130" s="34">
        <f>SUM(I131:I134)</f>
        <v>34327300</v>
      </c>
      <c r="J130" s="34"/>
    </row>
    <row r="131" spans="1:10" s="4" customFormat="1" ht="57" customHeight="1">
      <c r="A131" s="27" t="s">
        <v>121</v>
      </c>
      <c r="B131" s="27" t="s">
        <v>101</v>
      </c>
      <c r="C131" s="27" t="s">
        <v>163</v>
      </c>
      <c r="D131" s="28" t="s">
        <v>103</v>
      </c>
      <c r="E131" s="38" t="s">
        <v>146</v>
      </c>
      <c r="F131" s="44"/>
      <c r="G131" s="26"/>
      <c r="H131" s="26"/>
      <c r="I131" s="26">
        <f>9499000</f>
        <v>9499000</v>
      </c>
      <c r="J131" s="43"/>
    </row>
    <row r="132" spans="1:10" s="4" customFormat="1" ht="57" customHeight="1">
      <c r="A132" s="27" t="s">
        <v>122</v>
      </c>
      <c r="B132" s="27" t="s">
        <v>123</v>
      </c>
      <c r="C132" s="27" t="s">
        <v>102</v>
      </c>
      <c r="D132" s="28" t="s">
        <v>124</v>
      </c>
      <c r="E132" s="38" t="s">
        <v>146</v>
      </c>
      <c r="F132" s="44"/>
      <c r="G132" s="26"/>
      <c r="H132" s="26"/>
      <c r="I132" s="43">
        <f>293500-11700</f>
        <v>281800</v>
      </c>
      <c r="J132" s="43"/>
    </row>
    <row r="133" spans="1:10" s="4" customFormat="1" ht="55.5" customHeight="1">
      <c r="A133" s="27" t="s">
        <v>125</v>
      </c>
      <c r="B133" s="27" t="s">
        <v>107</v>
      </c>
      <c r="C133" s="27" t="s">
        <v>102</v>
      </c>
      <c r="D133" s="28" t="s">
        <v>108</v>
      </c>
      <c r="E133" s="38" t="s">
        <v>146</v>
      </c>
      <c r="F133" s="44"/>
      <c r="G133" s="26"/>
      <c r="H133" s="26"/>
      <c r="I133" s="26">
        <f>12990000-440000-744000+39500</f>
        <v>11845500</v>
      </c>
      <c r="J133" s="43"/>
    </row>
    <row r="134" spans="1:10" s="9" customFormat="1" ht="62.25" customHeight="1">
      <c r="A134" s="27" t="s">
        <v>126</v>
      </c>
      <c r="B134" s="27" t="s">
        <v>111</v>
      </c>
      <c r="C134" s="27" t="s">
        <v>112</v>
      </c>
      <c r="D134" s="28" t="s">
        <v>113</v>
      </c>
      <c r="E134" s="38" t="s">
        <v>146</v>
      </c>
      <c r="F134" s="44"/>
      <c r="G134" s="26"/>
      <c r="H134" s="26"/>
      <c r="I134" s="26">
        <f>12006500+440000+194000+60500</f>
        <v>12701000</v>
      </c>
      <c r="J134" s="43"/>
    </row>
    <row r="135" spans="1:10" s="9" customFormat="1" ht="29.25" customHeight="1">
      <c r="A135" s="30" t="s">
        <v>93</v>
      </c>
      <c r="B135" s="30"/>
      <c r="C135" s="30"/>
      <c r="D135" s="31" t="s">
        <v>95</v>
      </c>
      <c r="E135" s="32"/>
      <c r="F135" s="33"/>
      <c r="G135" s="34"/>
      <c r="H135" s="34"/>
      <c r="I135" s="57">
        <f>I136</f>
        <v>18230215.689999998</v>
      </c>
      <c r="J135" s="34"/>
    </row>
    <row r="136" spans="1:10" s="4" customFormat="1" ht="36.75" customHeight="1">
      <c r="A136" s="30" t="s">
        <v>94</v>
      </c>
      <c r="B136" s="30"/>
      <c r="C136" s="30"/>
      <c r="D136" s="31" t="s">
        <v>95</v>
      </c>
      <c r="E136" s="32"/>
      <c r="F136" s="33"/>
      <c r="G136" s="34"/>
      <c r="H136" s="34"/>
      <c r="I136" s="57">
        <f>SUM(I137:I141)</f>
        <v>18230215.689999998</v>
      </c>
      <c r="J136" s="34"/>
    </row>
    <row r="137" spans="1:10" s="4" customFormat="1" ht="57" customHeight="1">
      <c r="A137" s="27" t="s">
        <v>127</v>
      </c>
      <c r="B137" s="27" t="s">
        <v>101</v>
      </c>
      <c r="C137" s="27" t="s">
        <v>163</v>
      </c>
      <c r="D137" s="28" t="s">
        <v>103</v>
      </c>
      <c r="E137" s="38" t="s">
        <v>146</v>
      </c>
      <c r="F137" s="44"/>
      <c r="G137" s="26"/>
      <c r="H137" s="26"/>
      <c r="I137" s="43">
        <f>11624249+105000-140000</f>
        <v>11589249</v>
      </c>
      <c r="J137" s="43"/>
    </row>
    <row r="138" spans="1:10" s="4" customFormat="1" ht="48.75" customHeight="1">
      <c r="A138" s="27" t="s">
        <v>142</v>
      </c>
      <c r="B138" s="27" t="s">
        <v>123</v>
      </c>
      <c r="C138" s="27" t="s">
        <v>102</v>
      </c>
      <c r="D138" s="28" t="s">
        <v>124</v>
      </c>
      <c r="E138" s="38" t="s">
        <v>146</v>
      </c>
      <c r="F138" s="44"/>
      <c r="G138" s="26"/>
      <c r="H138" s="26"/>
      <c r="I138" s="43">
        <f>200000-37000-2700</f>
        <v>160300</v>
      </c>
      <c r="J138" s="43"/>
    </row>
    <row r="139" spans="1:10" s="4" customFormat="1" ht="88.5" customHeight="1">
      <c r="A139" s="27" t="s">
        <v>128</v>
      </c>
      <c r="B139" s="27" t="s">
        <v>107</v>
      </c>
      <c r="C139" s="27" t="s">
        <v>102</v>
      </c>
      <c r="D139" s="28" t="s">
        <v>108</v>
      </c>
      <c r="E139" s="38" t="s">
        <v>146</v>
      </c>
      <c r="F139" s="44"/>
      <c r="G139" s="26"/>
      <c r="H139" s="26"/>
      <c r="I139" s="43">
        <f>560000-151000+144000-280000</f>
        <v>273000</v>
      </c>
      <c r="J139" s="43"/>
    </row>
    <row r="140" spans="1:10" s="4" customFormat="1" ht="79.5" customHeight="1">
      <c r="A140" s="27" t="s">
        <v>198</v>
      </c>
      <c r="B140" s="27" t="s">
        <v>180</v>
      </c>
      <c r="C140" s="27" t="s">
        <v>181</v>
      </c>
      <c r="D140" s="28" t="s">
        <v>182</v>
      </c>
      <c r="E140" s="38" t="s">
        <v>200</v>
      </c>
      <c r="F140" s="44"/>
      <c r="G140" s="26"/>
      <c r="H140" s="26"/>
      <c r="I140" s="67">
        <v>340486.69</v>
      </c>
      <c r="J140" s="43"/>
    </row>
    <row r="141" spans="1:10" s="9" customFormat="1" ht="56.25" customHeight="1">
      <c r="A141" s="27" t="s">
        <v>129</v>
      </c>
      <c r="B141" s="27" t="s">
        <v>111</v>
      </c>
      <c r="C141" s="27" t="s">
        <v>112</v>
      </c>
      <c r="D141" s="28" t="s">
        <v>113</v>
      </c>
      <c r="E141" s="38" t="s">
        <v>146</v>
      </c>
      <c r="F141" s="44"/>
      <c r="G141" s="26"/>
      <c r="H141" s="26"/>
      <c r="I141" s="43">
        <v>5867180</v>
      </c>
      <c r="J141" s="43"/>
    </row>
    <row r="142" spans="1:10" s="9" customFormat="1" ht="29.25" customHeight="1">
      <c r="A142" s="30" t="s">
        <v>97</v>
      </c>
      <c r="B142" s="30"/>
      <c r="C142" s="30"/>
      <c r="D142" s="31" t="s">
        <v>96</v>
      </c>
      <c r="E142" s="32"/>
      <c r="F142" s="33"/>
      <c r="G142" s="34"/>
      <c r="H142" s="34"/>
      <c r="I142" s="34">
        <f>I143</f>
        <v>27225811</v>
      </c>
      <c r="J142" s="34"/>
    </row>
    <row r="143" spans="1:10" s="4" customFormat="1" ht="40.5" customHeight="1">
      <c r="A143" s="30" t="s">
        <v>98</v>
      </c>
      <c r="B143" s="30"/>
      <c r="C143" s="30"/>
      <c r="D143" s="31" t="s">
        <v>96</v>
      </c>
      <c r="E143" s="32"/>
      <c r="F143" s="33"/>
      <c r="G143" s="34"/>
      <c r="H143" s="34"/>
      <c r="I143" s="34">
        <f>SUM(I144:I149)</f>
        <v>27225811</v>
      </c>
      <c r="J143" s="34"/>
    </row>
    <row r="144" spans="1:10" s="4" customFormat="1" ht="55.5" customHeight="1">
      <c r="A144" s="27" t="s">
        <v>130</v>
      </c>
      <c r="B144" s="27" t="s">
        <v>101</v>
      </c>
      <c r="C144" s="27" t="s">
        <v>163</v>
      </c>
      <c r="D144" s="28" t="s">
        <v>103</v>
      </c>
      <c r="E144" s="38" t="s">
        <v>146</v>
      </c>
      <c r="F144" s="44"/>
      <c r="G144" s="26"/>
      <c r="H144" s="26"/>
      <c r="I144" s="43">
        <f>11019495+250000</f>
        <v>11269495</v>
      </c>
      <c r="J144" s="43"/>
    </row>
    <row r="145" spans="1:10" s="4" customFormat="1" ht="53.25" customHeight="1">
      <c r="A145" s="5" t="s">
        <v>132</v>
      </c>
      <c r="B145" s="5" t="s">
        <v>123</v>
      </c>
      <c r="C145" s="5" t="s">
        <v>102</v>
      </c>
      <c r="D145" s="6" t="s">
        <v>124</v>
      </c>
      <c r="E145" s="19" t="s">
        <v>146</v>
      </c>
      <c r="F145" s="21"/>
      <c r="G145" s="7"/>
      <c r="H145" s="7"/>
      <c r="I145" s="43">
        <v>80000</v>
      </c>
      <c r="J145" s="13"/>
    </row>
    <row r="146" spans="1:10" s="4" customFormat="1" ht="84.75" customHeight="1">
      <c r="A146" s="5" t="s">
        <v>131</v>
      </c>
      <c r="B146" s="5" t="s">
        <v>107</v>
      </c>
      <c r="C146" s="5" t="s">
        <v>102</v>
      </c>
      <c r="D146" s="6" t="s">
        <v>108</v>
      </c>
      <c r="E146" s="19" t="s">
        <v>146</v>
      </c>
      <c r="F146" s="21"/>
      <c r="G146" s="7"/>
      <c r="H146" s="7"/>
      <c r="I146" s="43">
        <f>3924257-950000</f>
        <v>2974257</v>
      </c>
      <c r="J146" s="13"/>
    </row>
    <row r="147" spans="1:10" s="4" customFormat="1" ht="84.75" customHeight="1">
      <c r="A147" s="27" t="s">
        <v>199</v>
      </c>
      <c r="B147" s="27" t="s">
        <v>180</v>
      </c>
      <c r="C147" s="27" t="s">
        <v>181</v>
      </c>
      <c r="D147" s="28" t="s">
        <v>182</v>
      </c>
      <c r="E147" s="19" t="s">
        <v>200</v>
      </c>
      <c r="F147" s="21"/>
      <c r="G147" s="7"/>
      <c r="H147" s="7"/>
      <c r="I147" s="43">
        <v>500000</v>
      </c>
      <c r="J147" s="13"/>
    </row>
    <row r="148" spans="1:10" s="4" customFormat="1" ht="61.5" customHeight="1">
      <c r="A148" s="27" t="s">
        <v>199</v>
      </c>
      <c r="B148" s="27" t="s">
        <v>180</v>
      </c>
      <c r="C148" s="27" t="s">
        <v>181</v>
      </c>
      <c r="D148" s="28" t="s">
        <v>182</v>
      </c>
      <c r="E148" s="19" t="s">
        <v>225</v>
      </c>
      <c r="F148" s="21"/>
      <c r="G148" s="7"/>
      <c r="H148" s="7"/>
      <c r="I148" s="43">
        <v>2956779</v>
      </c>
      <c r="J148" s="13"/>
    </row>
    <row r="149" spans="1:11" s="9" customFormat="1" ht="49.5" customHeight="1">
      <c r="A149" s="27" t="s">
        <v>133</v>
      </c>
      <c r="B149" s="27" t="s">
        <v>111</v>
      </c>
      <c r="C149" s="27" t="s">
        <v>112</v>
      </c>
      <c r="D149" s="28" t="s">
        <v>113</v>
      </c>
      <c r="E149" s="19" t="s">
        <v>146</v>
      </c>
      <c r="F149" s="44"/>
      <c r="G149" s="26"/>
      <c r="H149" s="26"/>
      <c r="I149" s="43">
        <v>9445280</v>
      </c>
      <c r="J149" s="43"/>
      <c r="K149" s="11"/>
    </row>
    <row r="150" spans="1:10" ht="13.5">
      <c r="A150" s="45" t="s">
        <v>1</v>
      </c>
      <c r="B150" s="45" t="s">
        <v>1</v>
      </c>
      <c r="C150" s="45" t="s">
        <v>1</v>
      </c>
      <c r="D150" s="45" t="s">
        <v>2</v>
      </c>
      <c r="E150" s="45" t="s">
        <v>1</v>
      </c>
      <c r="F150" s="46" t="s">
        <v>1</v>
      </c>
      <c r="G150" s="46" t="s">
        <v>1</v>
      </c>
      <c r="H150" s="46"/>
      <c r="I150" s="58">
        <f>I122+I85+I65+I34+I13+I23+I29+I129+I135+I142+I19+I119</f>
        <v>640034718.4300001</v>
      </c>
      <c r="J150" s="46" t="s">
        <v>1</v>
      </c>
    </row>
    <row r="152" ht="13.5">
      <c r="I152" s="70"/>
    </row>
    <row r="154" ht="13.5">
      <c r="I154" s="42"/>
    </row>
    <row r="155" ht="13.5">
      <c r="I155" s="70"/>
    </row>
    <row r="158" ht="13.5">
      <c r="I158" s="42"/>
    </row>
    <row r="162" ht="13.5">
      <c r="I162" s="42"/>
    </row>
  </sheetData>
  <sheetProtection/>
  <mergeCells count="4">
    <mergeCell ref="A6:J6"/>
    <mergeCell ref="A7:J7"/>
    <mergeCell ref="L33:M33"/>
    <mergeCell ref="A8:B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0"/>
  <sheetViews>
    <sheetView view="pageBreakPreview" zoomScale="60" zoomScalePageLayoutView="0" workbookViewId="0" topLeftCell="A1">
      <selection activeCell="L9" sqref="L9"/>
    </sheetView>
  </sheetViews>
  <sheetFormatPr defaultColWidth="9.140625" defaultRowHeight="15"/>
  <cols>
    <col min="1" max="1" width="12.7109375" style="0" customWidth="1"/>
    <col min="4" max="4" width="21.28125" style="0" customWidth="1"/>
    <col min="5" max="5" width="52.140625" style="0" customWidth="1"/>
    <col min="6" max="6" width="12.140625" style="0" customWidth="1"/>
    <col min="7" max="7" width="12.00390625" style="0" customWidth="1"/>
    <col min="9" max="9" width="14.7109375" style="0" customWidth="1"/>
    <col min="10" max="11" width="12.28125" style="0" customWidth="1"/>
    <col min="12" max="12" width="14.8515625" style="0" customWidth="1"/>
    <col min="13" max="13" width="10.8515625" style="0" bestFit="1" customWidth="1"/>
  </cols>
  <sheetData>
    <row r="3" spans="1:12" ht="132" customHeight="1">
      <c r="A3" s="16" t="s">
        <v>78</v>
      </c>
      <c r="B3" s="16" t="s">
        <v>79</v>
      </c>
      <c r="C3" s="16" t="s">
        <v>76</v>
      </c>
      <c r="D3" s="16" t="s">
        <v>3</v>
      </c>
      <c r="E3" s="16" t="s">
        <v>80</v>
      </c>
      <c r="F3" s="16" t="s">
        <v>81</v>
      </c>
      <c r="G3" s="16" t="s">
        <v>82</v>
      </c>
      <c r="H3" s="16" t="s">
        <v>83</v>
      </c>
      <c r="I3" s="53" t="s">
        <v>84</v>
      </c>
      <c r="J3" s="16" t="s">
        <v>85</v>
      </c>
      <c r="K3" s="16" t="s">
        <v>186</v>
      </c>
      <c r="L3" s="16" t="s">
        <v>187</v>
      </c>
    </row>
    <row r="4" spans="1:12" ht="70.5" customHeight="1">
      <c r="A4" s="17" t="s">
        <v>151</v>
      </c>
      <c r="B4" s="17"/>
      <c r="C4" s="17"/>
      <c r="D4" s="49" t="s">
        <v>150</v>
      </c>
      <c r="E4" s="3"/>
      <c r="F4" s="17"/>
      <c r="G4" s="18"/>
      <c r="H4" s="51"/>
      <c r="I4" s="54">
        <f>SUM(I5:I7)</f>
        <v>5187200</v>
      </c>
      <c r="J4" s="50"/>
      <c r="K4" s="50"/>
      <c r="L4" s="50"/>
    </row>
    <row r="5" spans="1:12" ht="96.75" customHeight="1">
      <c r="A5" s="5" t="s">
        <v>153</v>
      </c>
      <c r="B5" s="5" t="s">
        <v>14</v>
      </c>
      <c r="C5" s="5" t="s">
        <v>12</v>
      </c>
      <c r="D5" s="6" t="s">
        <v>154</v>
      </c>
      <c r="E5" s="19" t="s">
        <v>167</v>
      </c>
      <c r="F5" s="21" t="s">
        <v>86</v>
      </c>
      <c r="G5" s="7">
        <v>2886643</v>
      </c>
      <c r="H5" s="52">
        <v>0</v>
      </c>
      <c r="I5" s="55">
        <v>2886643</v>
      </c>
      <c r="J5" s="13">
        <v>100</v>
      </c>
      <c r="K5" s="13"/>
      <c r="L5" s="13"/>
    </row>
    <row r="6" spans="1:13" ht="120" customHeight="1">
      <c r="A6" s="5" t="s">
        <v>153</v>
      </c>
      <c r="B6" s="5" t="s">
        <v>14</v>
      </c>
      <c r="C6" s="5" t="s">
        <v>12</v>
      </c>
      <c r="D6" s="6" t="s">
        <v>154</v>
      </c>
      <c r="E6" s="19" t="s">
        <v>168</v>
      </c>
      <c r="F6" s="21" t="s">
        <v>86</v>
      </c>
      <c r="G6" s="7">
        <v>1487022</v>
      </c>
      <c r="H6" s="52">
        <v>0</v>
      </c>
      <c r="I6" s="55">
        <v>1487022</v>
      </c>
      <c r="J6" s="13">
        <v>100</v>
      </c>
      <c r="K6" s="13">
        <v>-323083</v>
      </c>
      <c r="L6" s="13"/>
      <c r="M6" s="59" t="s">
        <v>184</v>
      </c>
    </row>
    <row r="7" spans="1:13" ht="78.75" customHeight="1">
      <c r="A7" s="5" t="s">
        <v>153</v>
      </c>
      <c r="B7" s="5" t="s">
        <v>14</v>
      </c>
      <c r="C7" s="5" t="s">
        <v>12</v>
      </c>
      <c r="D7" s="6" t="s">
        <v>154</v>
      </c>
      <c r="E7" s="19" t="s">
        <v>159</v>
      </c>
      <c r="F7" s="21" t="s">
        <v>86</v>
      </c>
      <c r="G7" s="7">
        <v>1355055</v>
      </c>
      <c r="H7" s="52">
        <v>0</v>
      </c>
      <c r="I7" s="55">
        <v>813535</v>
      </c>
      <c r="J7" s="13">
        <v>60</v>
      </c>
      <c r="K7" s="13">
        <v>108043</v>
      </c>
      <c r="L7" s="13">
        <v>433477</v>
      </c>
      <c r="M7" s="60">
        <f>I7+K7+L7</f>
        <v>1355055</v>
      </c>
    </row>
    <row r="8" spans="1:13" ht="78.75" customHeight="1">
      <c r="A8" s="5" t="s">
        <v>153</v>
      </c>
      <c r="B8" s="5" t="s">
        <v>14</v>
      </c>
      <c r="C8" s="5" t="s">
        <v>12</v>
      </c>
      <c r="D8" s="6" t="s">
        <v>154</v>
      </c>
      <c r="E8" s="19" t="s">
        <v>178</v>
      </c>
      <c r="F8" s="21"/>
      <c r="G8" s="13">
        <v>430791</v>
      </c>
      <c r="H8" s="52"/>
      <c r="I8" s="55"/>
      <c r="J8" s="13"/>
      <c r="K8" s="13"/>
      <c r="L8" s="13"/>
      <c r="M8" s="56" t="s">
        <v>185</v>
      </c>
    </row>
    <row r="9" spans="1:12" ht="78.75" customHeight="1">
      <c r="A9" s="5" t="s">
        <v>153</v>
      </c>
      <c r="B9" s="5" t="s">
        <v>14</v>
      </c>
      <c r="C9" s="5" t="s">
        <v>12</v>
      </c>
      <c r="D9" s="6" t="s">
        <v>154</v>
      </c>
      <c r="E9" s="19" t="s">
        <v>179</v>
      </c>
      <c r="F9" s="21"/>
      <c r="G9" s="7"/>
      <c r="H9" s="52"/>
      <c r="I9" s="55"/>
      <c r="J9" s="13"/>
      <c r="K9" s="13">
        <v>215040</v>
      </c>
      <c r="L9" s="13"/>
    </row>
    <row r="10" spans="1:12" s="9" customFormat="1" ht="13.5">
      <c r="A10" s="45" t="s">
        <v>1</v>
      </c>
      <c r="B10" s="45" t="s">
        <v>1</v>
      </c>
      <c r="C10" s="45" t="s">
        <v>1</v>
      </c>
      <c r="D10" s="45" t="s">
        <v>2</v>
      </c>
      <c r="E10" s="45" t="s">
        <v>1</v>
      </c>
      <c r="F10" s="46" t="s">
        <v>1</v>
      </c>
      <c r="G10" s="46" t="s">
        <v>1</v>
      </c>
      <c r="H10" s="46"/>
      <c r="I10" s="47">
        <f>I5+I6+I7+I8+I9</f>
        <v>5187200</v>
      </c>
      <c r="J10" s="47"/>
      <c r="K10" s="47">
        <f>K5+K6+K7+K8+K9</f>
        <v>0</v>
      </c>
      <c r="L10" s="47">
        <f>L5+L6+L7+L8+L9</f>
        <v>433477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User415b</dc:creator>
  <cp:keywords/>
  <dc:description/>
  <cp:lastModifiedBy>user362b</cp:lastModifiedBy>
  <cp:lastPrinted>2020-06-18T08:03:23Z</cp:lastPrinted>
  <dcterms:created xsi:type="dcterms:W3CDTF">2018-11-26T07:36:12Z</dcterms:created>
  <dcterms:modified xsi:type="dcterms:W3CDTF">2020-12-17T12:43:17Z</dcterms:modified>
  <cp:category/>
  <cp:version/>
  <cp:contentType/>
  <cp:contentStatus/>
</cp:coreProperties>
</file>