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'укр'!$A$5:$L$99</definedName>
    <definedName name="Z_04ACB588_E2F7_4C72_90EE_C1D7F57E0343_.wvu.FilterData" localSheetId="1" hidden="1">'рус'!$A$3:$K$90</definedName>
    <definedName name="Z_04ACB588_E2F7_4C72_90EE_C1D7F57E0343_.wvu.FilterData" localSheetId="0" hidden="1">'укр'!$A$5:$L$99</definedName>
    <definedName name="Z_0AB4131A_8BED_4BFC_A370_C1BC1C9D4C7C_.wvu.FilterData" localSheetId="1" hidden="1">'рус'!$A$3:$K$90</definedName>
    <definedName name="Z_0AB4131A_8BED_4BFC_A370_C1BC1C9D4C7C_.wvu.FilterData" localSheetId="0" hidden="1">'укр'!$A$5:$L$90</definedName>
    <definedName name="Z_1046EEE3_1562_4020_8D2B_824F51BD9219_.wvu.FilterData" localSheetId="1" hidden="1">'рус'!$A$3:$K$90</definedName>
    <definedName name="Z_1054A86F_0A27_49A1_9D7E_76FC64889737_.wvu.FilterData" localSheetId="0" hidden="1">'укр'!$A$5:$L$90</definedName>
    <definedName name="Z_1118C1DB_0416_47C1_A822_3E69CF54CCB3_.wvu.FilterData" localSheetId="0" hidden="1">'укр'!$A$5:$L$90</definedName>
    <definedName name="Z_1C966999_B4C5_43B7_926D_365C642CB6F1_.wvu.FilterData" localSheetId="0" hidden="1">'укр'!$A$5:$L$99</definedName>
    <definedName name="Z_231C1CD9_D5BC_43F0_874C_628A321B7F6D_.wvu.FilterData" localSheetId="1" hidden="1">'рус'!$A$3:$K$90</definedName>
    <definedName name="Z_231C1CD9_D5BC_43F0_874C_628A321B7F6D_.wvu.FilterData" localSheetId="0" hidden="1">'укр'!$A$5:$L$99</definedName>
    <definedName name="Z_24240EEA_952B_4B02_AFBB_C5493EA03E7A_.wvu.FilterData" localSheetId="0" hidden="1">'укр'!$A$5:$L$99</definedName>
    <definedName name="Z_27F388CE_0524_43E5_9E25_7EEC8B6CD1B4_.wvu.FilterData" localSheetId="0" hidden="1">'укр'!$A$5:$L$90</definedName>
    <definedName name="Z_3A145DEE_F66F_4ADC_8CE5_38BF43BF697E_.wvu.FilterData" localSheetId="0" hidden="1">'укр'!$A$5:$L$99</definedName>
    <definedName name="Z_3ABA87E8_DFA0_45BE_BA5D_FCDF1374FB92_.wvu.FilterData" localSheetId="0" hidden="1">'укр'!$A$5:$L$99</definedName>
    <definedName name="Z_3DE70603_A759_4A69_B4A6_A5BF364011E4_.wvu.FilterData" localSheetId="0" hidden="1">'укр'!$A$5:$L$90</definedName>
    <definedName name="Z_4260F083_649D_4241_ADC9_F602D674C2A9_.wvu.FilterData" localSheetId="0" hidden="1">'укр'!$A$5:$L$99</definedName>
    <definedName name="Z_49628C96_C195_416C_8FF0_14DD43C23211_.wvu.FilterData" localSheetId="1" hidden="1">'рус'!$A$3:$K$90</definedName>
    <definedName name="Z_49628C96_C195_416C_8FF0_14DD43C23211_.wvu.FilterData" localSheetId="0" hidden="1">'укр'!$A$5:$L$99</definedName>
    <definedName name="Z_4CD494E0_A5E8_4389_B231_32C134BAAFE3_.wvu.FilterData" localSheetId="1" hidden="1">'рус'!$A$3:$K$90</definedName>
    <definedName name="Z_4CD494E0_A5E8_4389_B231_32C134BAAFE3_.wvu.FilterData" localSheetId="0" hidden="1">'укр'!$A$5:$L$90</definedName>
    <definedName name="Z_4F73FC08_4ACE_4F60_8CCD_8CB6CCF71C74_.wvu.FilterData" localSheetId="0" hidden="1">'укр'!$A$5:$L$90</definedName>
    <definedName name="Z_58053810_807D_4B5B_A58D_D2B31B4E7C2D_.wvu.FilterData" localSheetId="0" hidden="1">'укр'!$A$5:$L$99</definedName>
    <definedName name="Z_5BF60E64_9CFF_4192_B734_77E73C07738E_.wvu.FilterData" localSheetId="0" hidden="1">'укр'!$A$5:$L$90</definedName>
    <definedName name="Z_617CC03B_61AA_4EAA_90A8_4FFD22DB74E3_.wvu.FilterData" localSheetId="0" hidden="1">'укр'!$A$5:$L$90</definedName>
    <definedName name="Z_6631C4E3_E3DE_4FDA_8360_88DA555E1CDC_.wvu.FilterData" localSheetId="1" hidden="1">'рус'!$A$3:$K$90</definedName>
    <definedName name="Z_6631C4E3_E3DE_4FDA_8360_88DA555E1CDC_.wvu.FilterData" localSheetId="0" hidden="1">'укр'!$A$5:$L$99</definedName>
    <definedName name="Z_672E82EF_B617_4568_88A0_B0D5C24A9181_.wvu.FilterData" localSheetId="0" hidden="1">'укр'!$A$5:$L$90</definedName>
    <definedName name="Z_6D745CBB_D96C_4096_B121_CE1FF649F302_.wvu.FilterData" localSheetId="0" hidden="1">'укр'!$A$5:$L$99</definedName>
    <definedName name="Z_72A9030B_9E1B_4FF0_81DC_13BA92CF6228_.wvu.FilterData" localSheetId="0" hidden="1">'укр'!$A$5:$L$99</definedName>
    <definedName name="Z_77FC4776_5A4A_492C_991A_5A42D696A663_.wvu.FilterData" localSheetId="0" hidden="1">'укр'!$A$5:$L$99</definedName>
    <definedName name="Z_79E0FD67_78FE_4620_A1A7_B5C455565654_.wvu.FilterData" localSheetId="0" hidden="1">'укр'!$A$5:$L$90</definedName>
    <definedName name="Z_83D0CCFC_E5EE_4571_B75B_A5A7C3C26172_.wvu.FilterData" localSheetId="1" hidden="1">'рус'!$A$3:$K$90</definedName>
    <definedName name="Z_8857BE6F_1159_4631_824E_129574F12620_.wvu.FilterData" localSheetId="0" hidden="1">'укр'!$A$5:$L$99</definedName>
    <definedName name="Z_88C6652C_1959_4D9F_BDAD_4D2FA65820E4_.wvu.FilterData" localSheetId="0" hidden="1">'укр'!$A$5:$L$90</definedName>
    <definedName name="Z_8EE5D67B_4CA5_40A5_A922_CD0FEE1CC0D1_.wvu.FilterData" localSheetId="0" hidden="1">'укр'!$A$5:$L$90</definedName>
    <definedName name="Z_94E5261F_BBF3_44CC_BB96_6EE4FAC48D5E_.wvu.FilterData" localSheetId="1" hidden="1">'рус'!$A$3:$K$90</definedName>
    <definedName name="Z_94E5261F_BBF3_44CC_BB96_6EE4FAC48D5E_.wvu.FilterData" localSheetId="0" hidden="1">'укр'!$A$5:$L$99</definedName>
    <definedName name="Z_94E5261F_BBF3_44CC_BB96_6EE4FAC48D5E_.wvu.PrintTitles" localSheetId="0" hidden="1">'укр'!$3:$4</definedName>
    <definedName name="Z_9E428FD8_4A7F_4695_B619_6CD4A85A7CD9_.wvu.FilterData" localSheetId="0" hidden="1">'укр'!$A$5:$L$90</definedName>
    <definedName name="Z_AAD35164_C16D_4344_AB49_3EDD3EB5143B_.wvu.FilterData" localSheetId="1" hidden="1">'рус'!$A$3:$K$90</definedName>
    <definedName name="Z_AAD35164_C16D_4344_AB49_3EDD3EB5143B_.wvu.FilterData" localSheetId="0" hidden="1">'укр'!$A$5:$L$99</definedName>
    <definedName name="Z_B005A4D0_4D83_4519_8DC2_94F47F9339DB_.wvu.FilterData" localSheetId="0" hidden="1">'укр'!$A$5:$L$99</definedName>
    <definedName name="Z_B6AA2B40_3CC2_41A0_9585_B2CF71A6FBEA_.wvu.FilterData" localSheetId="0" hidden="1">'укр'!$A$5:$L$90</definedName>
    <definedName name="Z_BD696675_756F_4C65_9FBC_AF64F1E4ED1A_.wvu.FilterData" localSheetId="0" hidden="1">'укр'!$A$5:$L$99</definedName>
    <definedName name="Z_BF88407D_B535_4517_A33E_4B66B4BE59F2_.wvu.FilterData" localSheetId="0" hidden="1">'укр'!$A$5:$L$90</definedName>
    <definedName name="Z_C412732E_09B2_4FD4_A85C_B91F17699E15_.wvu.FilterData" localSheetId="0" hidden="1">'укр'!$A$5:$L$90</definedName>
    <definedName name="Z_CCB6C31A_E2C2_467C_B0EF_22068EE5B7E6_.wvu.FilterData" localSheetId="0" hidden="1">'укр'!$A$5:$L$99</definedName>
    <definedName name="Z_CE15792D_2AC4_4621_BB4C_2DACB89F6B4A_.wvu.FilterData" localSheetId="1" hidden="1">'рус'!$A$3:$K$90</definedName>
    <definedName name="Z_CE15792D_2AC4_4621_BB4C_2DACB89F6B4A_.wvu.FilterData" localSheetId="0" hidden="1">'укр'!$A$5:$L$99</definedName>
    <definedName name="Z_D266BC48_5515_4A75_9DB6_3A407AEB8B33_.wvu.FilterData" localSheetId="0" hidden="1">'укр'!$A$5:$L$90</definedName>
    <definedName name="Z_D456CF22_C4A3_47CC_9796_39031F9CB851_.wvu.FilterData" localSheetId="1" hidden="1">'рус'!$A$3:$K$90</definedName>
    <definedName name="Z_D456CF22_C4A3_47CC_9796_39031F9CB851_.wvu.FilterData" localSheetId="0" hidden="1">'укр'!$A$5:$L$99</definedName>
    <definedName name="Z_DD69DD97_1E5C_4687_BB7A_6E54A3A2851D_.wvu.FilterData" localSheetId="0" hidden="1">'укр'!$A$5:$L$90</definedName>
    <definedName name="Z_E9CFA120_5FC1_4ACD_A9F4_51CC159105FA_.wvu.FilterData" localSheetId="0" hidden="1">'укр'!$A$5:$L$99</definedName>
    <definedName name="Z_EDF91F7F_6349_440C_99E3_AA497F3CC267_.wvu.FilterData" localSheetId="1" hidden="1">'рус'!$A$3:$K$90</definedName>
    <definedName name="Z_EDF91F7F_6349_440C_99E3_AA497F3CC267_.wvu.FilterData" localSheetId="0" hidden="1">'укр'!$A$5:$L$99</definedName>
    <definedName name="Z_F0F0F2F2_6B0B_46F3_97EF_06EC5C7DBFC2_.wvu.FilterData" localSheetId="0" hidden="1">'укр'!$A$5:$L$99</definedName>
    <definedName name="Z_F91456B9_4E53_4C5A_B738_AE85B41E256C_.wvu.FilterData" localSheetId="0" hidden="1">'укр'!$A$5:$L$90</definedName>
    <definedName name="Z_F9194F6B_BA54_43F5_8AA8_2451A733CA6A_.wvu.FilterData" localSheetId="1" hidden="1">'рус'!$A$3:$K$90</definedName>
    <definedName name="Z_F9194F6B_BA54_43F5_8AA8_2451A733CA6A_.wvu.FilterData" localSheetId="0" hidden="1">'укр'!$A$5:$L$99</definedName>
    <definedName name="_xlnm.Print_Titles" localSheetId="0">'укр'!$3:$4</definedName>
  </definedNames>
  <calcPr fullCalcOnLoad="1"/>
</workbook>
</file>

<file path=xl/sharedStrings.xml><?xml version="1.0" encoding="utf-8"?>
<sst xmlns="http://schemas.openxmlformats.org/spreadsheetml/2006/main" count="184" uniqueCount="75">
  <si>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</si>
  <si>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</si>
  <si>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</si>
  <si>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</si>
  <si>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</si>
  <si>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</si>
  <si>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</si>
  <si>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</si>
  <si>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</si>
  <si>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</si>
  <si>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</si>
  <si>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</si>
  <si>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</si>
  <si>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</si>
  <si>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</si>
  <si>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</si>
  <si>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</si>
  <si>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</si>
  <si>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</si>
  <si>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</si>
  <si>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</si>
  <si>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</si>
  <si>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</si>
  <si>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</si>
  <si>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</si>
  <si>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</si>
  <si>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</si>
  <si>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</si>
  <si>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</si>
  <si>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</si>
  <si>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</si>
  <si>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</si>
  <si>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</si>
  <si>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</si>
  <si>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</si>
  <si>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</si>
  <si>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</si>
  <si>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</si>
  <si>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</si>
  <si>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</si>
  <si>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</si>
  <si>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</si>
  <si>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</si>
  <si>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</si>
  <si>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</si>
  <si>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</si>
  <si>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</si>
  <si>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</si>
  <si>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</si>
  <si>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</si>
  <si>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</si>
  <si>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</si>
  <si>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</si>
  <si>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</si>
  <si>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</si>
  <si>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</si>
  <si>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</si>
  <si>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</si>
  <si>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</si>
  <si>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</si>
  <si>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</si>
  <si>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</si>
  <si>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</si>
  <si>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</si>
  <si>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Затверджено на рік з урахуванням змін, тис. грн.</t>
  </si>
  <si>
    <t>Відсоток фінансування до річних показників, %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</si>
  <si>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</si>
  <si>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</si>
  <si>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</si>
  <si>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Щотижнева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</si>
  <si>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Еженедельная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</si>
  <si>
    <t xml:space="preserve">План на январь-май с учетом изменений, тыс. грн. </t>
  </si>
  <si>
    <t>План на січень-червень, з урахуванням змін тис. грн.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</si>
  <si>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10 червня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</si>
  <si>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10 июня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</si>
</sst>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164" fontId="18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164" fontId="19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5" fillId="0" borderId="0" xfId="0" applyNumberFormat="1" applyFont="1" applyFill="1" applyAlignment="1">
      <alignment wrapText="1"/>
    </xf>
    <xf numFmtId="164" fontId="25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0" fillId="0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PageLayoutView="0" workbookViewId="0" topLeftCell="A1">
      <pane xSplit="1" ySplit="4" topLeftCell="B8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02" sqref="C102"/>
    </sheetView>
  </sheetViews>
  <sheetFormatPr defaultColWidth="9.140625" defaultRowHeight="15"/>
  <cols>
    <col min="1" max="1" width="36.140625" style="10" customWidth="1"/>
    <col min="2" max="2" width="18.421875" style="10" customWidth="1"/>
    <col min="3" max="3" width="17.28125" style="53" customWidth="1"/>
    <col min="4" max="4" width="15.8515625" style="53" customWidth="1"/>
    <col min="5" max="5" width="16.421875" style="53" customWidth="1"/>
    <col min="6" max="6" width="14.57421875" style="53" customWidth="1"/>
    <col min="7" max="16384" width="9.140625" style="10" customWidth="1"/>
  </cols>
  <sheetData>
    <row r="1" spans="1:6" s="1" customFormat="1" ht="45" customHeight="1">
      <c r="A1" s="68" t="s">
        <v>69</v>
      </c>
      <c r="B1" s="68"/>
      <c r="C1" s="68"/>
      <c r="D1" s="68"/>
      <c r="E1" s="68"/>
      <c r="F1" s="68"/>
    </row>
    <row r="2" spans="1:6" s="1" customFormat="1" ht="12.75" customHeight="1">
      <c r="A2" s="15"/>
      <c r="B2" s="15"/>
      <c r="C2" s="15"/>
      <c r="D2" s="15"/>
      <c r="E2" s="16"/>
      <c r="F2" s="58"/>
    </row>
    <row r="3" spans="1:6" s="1" customFormat="1" ht="31.5" customHeight="1">
      <c r="A3" s="69"/>
      <c r="B3" s="69" t="s">
        <v>64</v>
      </c>
      <c r="C3" s="69" t="s">
        <v>72</v>
      </c>
      <c r="D3" s="70" t="s">
        <v>73</v>
      </c>
      <c r="E3" s="69" t="s">
        <v>65</v>
      </c>
      <c r="F3" s="69" t="s">
        <v>15</v>
      </c>
    </row>
    <row r="4" spans="1:6" s="1" customFormat="1" ht="86.25" customHeight="1">
      <c r="A4" s="69"/>
      <c r="B4" s="69"/>
      <c r="C4" s="69"/>
      <c r="D4" s="70"/>
      <c r="E4" s="69"/>
      <c r="F4" s="69"/>
    </row>
    <row r="5" spans="1:6" s="2" customFormat="1" ht="16.5" customHeight="1">
      <c r="A5" s="17" t="s">
        <v>3</v>
      </c>
      <c r="B5" s="18">
        <f>B6+B13</f>
        <v>723424.233</v>
      </c>
      <c r="C5" s="18">
        <f>C6+C13</f>
        <v>403779.042</v>
      </c>
      <c r="D5" s="18">
        <f>D6+D13</f>
        <v>309216.463</v>
      </c>
      <c r="E5" s="19">
        <f aca="true" t="shared" si="0" ref="E5:E36">SUM(D5)/B5*100</f>
        <v>42.743448296955236</v>
      </c>
      <c r="F5" s="19">
        <f>SUM(D5)/C5*100</f>
        <v>76.58061237363577</v>
      </c>
    </row>
    <row r="6" spans="1:6" s="14" customFormat="1" ht="16.5" customHeight="1">
      <c r="A6" s="30" t="s">
        <v>32</v>
      </c>
      <c r="B6" s="25">
        <v>687011.794</v>
      </c>
      <c r="C6" s="25">
        <v>390767.914</v>
      </c>
      <c r="D6" s="25">
        <f>303000.708+232.002</f>
        <v>303232.70999999996</v>
      </c>
      <c r="E6" s="20">
        <f t="shared" si="0"/>
        <v>44.13791912282658</v>
      </c>
      <c r="F6" s="20">
        <f>SUM(D6)/C6*100</f>
        <v>77.59918333520085</v>
      </c>
    </row>
    <row r="7" spans="1:6" s="3" customFormat="1" ht="14.25" customHeight="1">
      <c r="A7" s="12" t="s">
        <v>1</v>
      </c>
      <c r="B7" s="11">
        <v>401715.273</v>
      </c>
      <c r="C7" s="11">
        <v>236982.495</v>
      </c>
      <c r="D7" s="11">
        <f>183257.377+84.332</f>
        <v>183341.709</v>
      </c>
      <c r="E7" s="20">
        <f t="shared" si="0"/>
        <v>45.639715819318624</v>
      </c>
      <c r="F7" s="20">
        <f aca="true" t="shared" si="1" ref="F7:F73">SUM(D7)/C7*100</f>
        <v>77.36508513002195</v>
      </c>
    </row>
    <row r="8" spans="1:6" s="3" customFormat="1" ht="15">
      <c r="A8" s="12" t="s">
        <v>27</v>
      </c>
      <c r="B8" s="11">
        <v>88410.024</v>
      </c>
      <c r="C8" s="11">
        <v>52431.073</v>
      </c>
      <c r="D8" s="11">
        <f>40735.455+18.603</f>
        <v>40754.058000000005</v>
      </c>
      <c r="E8" s="20">
        <f t="shared" si="0"/>
        <v>46.096648497686196</v>
      </c>
      <c r="F8" s="20">
        <f t="shared" si="1"/>
        <v>77.72882694962205</v>
      </c>
    </row>
    <row r="9" spans="1:6" s="3" customFormat="1" ht="15">
      <c r="A9" s="12" t="s">
        <v>4</v>
      </c>
      <c r="B9" s="11">
        <v>153.271</v>
      </c>
      <c r="C9" s="11">
        <v>19.152</v>
      </c>
      <c r="D9" s="11">
        <v>12.503</v>
      </c>
      <c r="E9" s="20">
        <f t="shared" si="0"/>
        <v>8.157446614167064</v>
      </c>
      <c r="F9" s="20"/>
    </row>
    <row r="10" spans="1:6" s="3" customFormat="1" ht="15">
      <c r="A10" s="12" t="s">
        <v>5</v>
      </c>
      <c r="B10" s="11">
        <v>47933.507</v>
      </c>
      <c r="C10" s="11">
        <v>22205.705</v>
      </c>
      <c r="D10" s="11">
        <f>18048.547+25.788</f>
        <v>18074.335</v>
      </c>
      <c r="E10" s="20">
        <f t="shared" si="0"/>
        <v>37.70709912796491</v>
      </c>
      <c r="F10" s="20">
        <f t="shared" si="1"/>
        <v>81.39500637336215</v>
      </c>
    </row>
    <row r="11" spans="1:6" s="3" customFormat="1" ht="15">
      <c r="A11" s="12" t="s">
        <v>29</v>
      </c>
      <c r="B11" s="11">
        <v>92734.871</v>
      </c>
      <c r="C11" s="11">
        <v>47490.21</v>
      </c>
      <c r="D11" s="11">
        <v>43033.99</v>
      </c>
      <c r="E11" s="20">
        <f t="shared" si="0"/>
        <v>46.405402343202695</v>
      </c>
      <c r="F11" s="20">
        <f t="shared" si="1"/>
        <v>90.61655023214257</v>
      </c>
    </row>
    <row r="12" spans="1:6" s="3" customFormat="1" ht="15">
      <c r="A12" s="12" t="s">
        <v>13</v>
      </c>
      <c r="B12" s="11">
        <f>SUM(B6)-B7-B8-B9-B10-B11</f>
        <v>56064.84799999998</v>
      </c>
      <c r="C12" s="11">
        <f>SUM(C6)-C7-C8-C9-C10-C11</f>
        <v>31639.278999999988</v>
      </c>
      <c r="D12" s="11">
        <f>SUM(D6)-D7-D8-D9-D10-D11</f>
        <v>18016.11499999996</v>
      </c>
      <c r="E12" s="20">
        <f t="shared" si="0"/>
        <v>32.13442226758551</v>
      </c>
      <c r="F12" s="20">
        <f t="shared" si="1"/>
        <v>56.94224258397281</v>
      </c>
    </row>
    <row r="13" spans="1:6" s="3" customFormat="1" ht="15">
      <c r="A13" s="30" t="s">
        <v>14</v>
      </c>
      <c r="B13" s="25">
        <v>36412.439</v>
      </c>
      <c r="C13" s="25">
        <v>13011.128</v>
      </c>
      <c r="D13" s="25">
        <v>5983.753</v>
      </c>
      <c r="E13" s="20">
        <f t="shared" si="0"/>
        <v>16.433266115461258</v>
      </c>
      <c r="F13" s="20">
        <f t="shared" si="1"/>
        <v>45.989502216871585</v>
      </c>
    </row>
    <row r="14" spans="1:6" s="2" customFormat="1" ht="14.25">
      <c r="A14" s="17" t="s">
        <v>6</v>
      </c>
      <c r="B14" s="18">
        <f>B15+B22</f>
        <v>389669.912</v>
      </c>
      <c r="C14" s="18">
        <f>C15+C22</f>
        <v>191397.19000000003</v>
      </c>
      <c r="D14" s="18">
        <f>D15+D22</f>
        <v>155033.22699999998</v>
      </c>
      <c r="E14" s="19">
        <f t="shared" si="0"/>
        <v>39.78578335809514</v>
      </c>
      <c r="F14" s="19">
        <f t="shared" si="1"/>
        <v>81.00078533023392</v>
      </c>
    </row>
    <row r="15" spans="1:6" s="14" customFormat="1" ht="15">
      <c r="A15" s="30" t="s">
        <v>31</v>
      </c>
      <c r="B15" s="25">
        <f>349501.912+25271</f>
        <v>374772.912</v>
      </c>
      <c r="C15" s="25">
        <f>173741.684+12615.2</f>
        <v>186356.88400000002</v>
      </c>
      <c r="D15" s="25">
        <f>141829.613+516.153+11560.55</f>
        <v>153906.316</v>
      </c>
      <c r="E15" s="20">
        <f t="shared" si="0"/>
        <v>41.06655285694714</v>
      </c>
      <c r="F15" s="20">
        <f>SUM(D15)/C15*100</f>
        <v>82.58686918160747</v>
      </c>
    </row>
    <row r="16" spans="1:6" s="3" customFormat="1" ht="15">
      <c r="A16" s="12" t="s">
        <v>1</v>
      </c>
      <c r="B16" s="11">
        <v>221602.052</v>
      </c>
      <c r="C16" s="11">
        <v>106554.137</v>
      </c>
      <c r="D16" s="11">
        <v>91185.616</v>
      </c>
      <c r="E16" s="20">
        <f t="shared" si="0"/>
        <v>41.148362651443314</v>
      </c>
      <c r="F16" s="20">
        <f t="shared" si="1"/>
        <v>85.57679557763205</v>
      </c>
    </row>
    <row r="17" spans="1:6" s="3" customFormat="1" ht="15">
      <c r="A17" s="12" t="s">
        <v>27</v>
      </c>
      <c r="B17" s="11">
        <v>48697.18</v>
      </c>
      <c r="C17" s="11">
        <v>23396.168</v>
      </c>
      <c r="D17" s="11">
        <v>19849.922</v>
      </c>
      <c r="E17" s="20">
        <f t="shared" si="0"/>
        <v>40.761953772271816</v>
      </c>
      <c r="F17" s="20">
        <f t="shared" si="1"/>
        <v>84.84262038125216</v>
      </c>
    </row>
    <row r="18" spans="1:6" s="3" customFormat="1" ht="15">
      <c r="A18" s="12" t="s">
        <v>4</v>
      </c>
      <c r="B18" s="11">
        <v>16661.29</v>
      </c>
      <c r="C18" s="11">
        <v>9051.229</v>
      </c>
      <c r="D18" s="11">
        <f>6053.852+185.009</f>
        <v>6238.861</v>
      </c>
      <c r="E18" s="20">
        <f t="shared" si="0"/>
        <v>37.44524583630679</v>
      </c>
      <c r="F18" s="20">
        <f t="shared" si="1"/>
        <v>68.92833006434817</v>
      </c>
    </row>
    <row r="19" spans="1:6" s="3" customFormat="1" ht="15">
      <c r="A19" s="12" t="s">
        <v>5</v>
      </c>
      <c r="B19" s="11">
        <v>6745.744</v>
      </c>
      <c r="C19" s="11">
        <v>4024.459</v>
      </c>
      <c r="D19" s="11">
        <f>2340.966+61.302</f>
        <v>2402.268</v>
      </c>
      <c r="E19" s="20">
        <f t="shared" si="0"/>
        <v>35.61160933471535</v>
      </c>
      <c r="F19" s="20">
        <f t="shared" si="1"/>
        <v>59.691700176346686</v>
      </c>
    </row>
    <row r="20" spans="1:6" s="3" customFormat="1" ht="15">
      <c r="A20" s="12" t="s">
        <v>29</v>
      </c>
      <c r="B20" s="11">
        <v>36131.055</v>
      </c>
      <c r="C20" s="11">
        <v>19914.33</v>
      </c>
      <c r="D20" s="11">
        <f>15627.761+52.34</f>
        <v>15680.101</v>
      </c>
      <c r="E20" s="20">
        <f t="shared" si="0"/>
        <v>43.39784985520075</v>
      </c>
      <c r="F20" s="20">
        <f t="shared" si="1"/>
        <v>78.73777827323339</v>
      </c>
    </row>
    <row r="21" spans="1:6" s="3" customFormat="1" ht="15">
      <c r="A21" s="51" t="s">
        <v>13</v>
      </c>
      <c r="B21" s="11">
        <f>SUM(B15)-B16-B17-B18-B19-B20</f>
        <v>44935.59100000001</v>
      </c>
      <c r="C21" s="11">
        <f>SUM(C15)-C16-C17-C18-C19-C20</f>
        <v>23416.56100000001</v>
      </c>
      <c r="D21" s="11">
        <f>SUM(D15)-D16-D17-D18-D19-D20</f>
        <v>18549.548000000003</v>
      </c>
      <c r="E21" s="20">
        <f t="shared" si="0"/>
        <v>41.280302733750624</v>
      </c>
      <c r="F21" s="20">
        <f t="shared" si="1"/>
        <v>79.21550905788428</v>
      </c>
    </row>
    <row r="22" spans="1:6" s="3" customFormat="1" ht="15">
      <c r="A22" s="52" t="s">
        <v>14</v>
      </c>
      <c r="B22" s="25">
        <v>14897</v>
      </c>
      <c r="C22" s="25">
        <v>5040.306</v>
      </c>
      <c r="D22" s="25">
        <v>1126.911</v>
      </c>
      <c r="E22" s="20">
        <f t="shared" si="0"/>
        <v>7.564684164596899</v>
      </c>
      <c r="F22" s="20">
        <f t="shared" si="1"/>
        <v>22.357987788836635</v>
      </c>
    </row>
    <row r="23" spans="1:6" s="2" customFormat="1" ht="28.5">
      <c r="A23" s="17" t="s">
        <v>26</v>
      </c>
      <c r="B23" s="18">
        <f>B24+B34</f>
        <v>686890.8130000001</v>
      </c>
      <c r="C23" s="18">
        <f>C24+C34</f>
        <v>389627.33400000003</v>
      </c>
      <c r="D23" s="18">
        <f>D24+D34</f>
        <v>360106.679</v>
      </c>
      <c r="E23" s="19">
        <f t="shared" si="0"/>
        <v>52.42560712484008</v>
      </c>
      <c r="F23" s="19">
        <f t="shared" si="1"/>
        <v>92.4233613958922</v>
      </c>
    </row>
    <row r="24" spans="1:6" s="14" customFormat="1" ht="15">
      <c r="A24" s="30" t="s">
        <v>31</v>
      </c>
      <c r="B24" s="25">
        <v>682948.077</v>
      </c>
      <c r="C24" s="25">
        <v>387285.863</v>
      </c>
      <c r="D24" s="25">
        <v>360060.659</v>
      </c>
      <c r="E24" s="20">
        <f t="shared" si="0"/>
        <v>52.72152761329174</v>
      </c>
      <c r="F24" s="20">
        <f>SUM(D24)/C24*100</f>
        <v>92.97025618515798</v>
      </c>
    </row>
    <row r="25" spans="1:6" s="3" customFormat="1" ht="15">
      <c r="A25" s="12" t="s">
        <v>1</v>
      </c>
      <c r="B25" s="11">
        <f>14660.587+636.762</f>
        <v>15297.349</v>
      </c>
      <c r="C25" s="11">
        <v>7452.004</v>
      </c>
      <c r="D25" s="11">
        <v>6387.856</v>
      </c>
      <c r="E25" s="20">
        <f t="shared" si="0"/>
        <v>41.75792812205565</v>
      </c>
      <c r="F25" s="20">
        <f t="shared" si="1"/>
        <v>85.71997545895037</v>
      </c>
    </row>
    <row r="26" spans="1:6" s="3" customFormat="1" ht="15">
      <c r="A26" s="12" t="s">
        <v>27</v>
      </c>
      <c r="B26" s="11">
        <v>3353.598</v>
      </c>
      <c r="C26" s="11">
        <v>1625.031</v>
      </c>
      <c r="D26" s="11">
        <v>1390.273</v>
      </c>
      <c r="E26" s="20">
        <f t="shared" si="0"/>
        <v>41.45616141231</v>
      </c>
      <c r="F26" s="20">
        <f t="shared" si="1"/>
        <v>85.55362943845378</v>
      </c>
    </row>
    <row r="27" spans="1:6" s="3" customFormat="1" ht="15">
      <c r="A27" s="12" t="s">
        <v>4</v>
      </c>
      <c r="B27" s="11">
        <v>72.57</v>
      </c>
      <c r="C27" s="11">
        <v>39.6</v>
      </c>
      <c r="D27" s="11">
        <v>39.599</v>
      </c>
      <c r="E27" s="20">
        <f t="shared" si="0"/>
        <v>54.56662532727022</v>
      </c>
      <c r="F27" s="20">
        <f t="shared" si="1"/>
        <v>99.99747474747474</v>
      </c>
    </row>
    <row r="28" spans="1:6" s="3" customFormat="1" ht="15">
      <c r="A28" s="12" t="s">
        <v>5</v>
      </c>
      <c r="B28" s="11">
        <v>276.527</v>
      </c>
      <c r="C28" s="11">
        <v>123.915</v>
      </c>
      <c r="D28" s="11">
        <v>119.603</v>
      </c>
      <c r="E28" s="20">
        <f t="shared" si="0"/>
        <v>43.2518343597551</v>
      </c>
      <c r="F28" s="20">
        <f t="shared" si="1"/>
        <v>96.520195295162</v>
      </c>
    </row>
    <row r="29" spans="1:6" s="3" customFormat="1" ht="15">
      <c r="A29" s="12" t="s">
        <v>29</v>
      </c>
      <c r="B29" s="11">
        <v>1309.543</v>
      </c>
      <c r="C29" s="11">
        <v>767.483</v>
      </c>
      <c r="D29" s="11">
        <v>573.44</v>
      </c>
      <c r="E29" s="20">
        <f t="shared" si="0"/>
        <v>43.78932192375509</v>
      </c>
      <c r="F29" s="20">
        <f t="shared" si="1"/>
        <v>74.71696441484698</v>
      </c>
    </row>
    <row r="30" spans="1:6" s="3" customFormat="1" ht="15">
      <c r="A30" s="12" t="s">
        <v>13</v>
      </c>
      <c r="B30" s="11">
        <f>SUM(B24)-B25-B26-B27-B28-B29</f>
        <v>662638.4900000001</v>
      </c>
      <c r="C30" s="11">
        <f>SUM(C24)-C25-C26-C27-C28-C29</f>
        <v>377277.83</v>
      </c>
      <c r="D30" s="11">
        <f>SUM(D24)-D25-D26-D27-D28-D29</f>
        <v>351549.888</v>
      </c>
      <c r="E30" s="20">
        <f t="shared" si="0"/>
        <v>53.0530437493904</v>
      </c>
      <c r="F30" s="20">
        <f t="shared" si="1"/>
        <v>93.18063772790465</v>
      </c>
    </row>
    <row r="31" spans="1:6" s="3" customFormat="1" ht="15">
      <c r="A31" s="12" t="s">
        <v>18</v>
      </c>
      <c r="B31" s="11">
        <f>SUM(B32:B33)</f>
        <v>639599.8</v>
      </c>
      <c r="C31" s="11">
        <f>SUM(C32:C33)</f>
        <v>365854.668</v>
      </c>
      <c r="D31" s="11">
        <f>SUM(D32:D33)</f>
        <v>344529.86100000003</v>
      </c>
      <c r="E31" s="20">
        <f t="shared" si="0"/>
        <v>53.86647416087372</v>
      </c>
      <c r="F31" s="20">
        <f>SUM(D31)/C31*100</f>
        <v>94.17123550272701</v>
      </c>
    </row>
    <row r="32" spans="1:6" s="3" customFormat="1" ht="30">
      <c r="A32" s="13" t="s">
        <v>22</v>
      </c>
      <c r="B32" s="11">
        <v>424514.7</v>
      </c>
      <c r="C32" s="11">
        <v>218853.909</v>
      </c>
      <c r="D32" s="67">
        <v>218853.909</v>
      </c>
      <c r="E32" s="20">
        <f t="shared" si="0"/>
        <v>51.55390590714527</v>
      </c>
      <c r="F32" s="20">
        <f>SUM(D32)/C32*100</f>
        <v>100</v>
      </c>
    </row>
    <row r="33" spans="1:6" s="3" customFormat="1" ht="15">
      <c r="A33" s="13" t="s">
        <v>19</v>
      </c>
      <c r="B33" s="11">
        <v>215085.1</v>
      </c>
      <c r="C33" s="11">
        <v>147000.759</v>
      </c>
      <c r="D33" s="11">
        <v>125675.952</v>
      </c>
      <c r="E33" s="20">
        <f t="shared" si="0"/>
        <v>58.430803435477394</v>
      </c>
      <c r="F33" s="20">
        <f>SUM(D33)/C33*100</f>
        <v>85.49340347283514</v>
      </c>
    </row>
    <row r="34" spans="1:6" s="3" customFormat="1" ht="15">
      <c r="A34" s="30" t="s">
        <v>14</v>
      </c>
      <c r="B34" s="25">
        <v>3942.736</v>
      </c>
      <c r="C34" s="25">
        <v>2341.471</v>
      </c>
      <c r="D34" s="25">
        <v>46.02</v>
      </c>
      <c r="E34" s="20">
        <f t="shared" si="0"/>
        <v>1.1672097751409176</v>
      </c>
      <c r="F34" s="20">
        <f>SUM(D34)/C34*100</f>
        <v>1.9654311328220593</v>
      </c>
    </row>
    <row r="35" spans="1:6" s="2" customFormat="1" ht="14.25">
      <c r="A35" s="17" t="s">
        <v>7</v>
      </c>
      <c r="B35" s="18">
        <f>B36+B41</f>
        <v>96875.568</v>
      </c>
      <c r="C35" s="18">
        <f>C36+C41</f>
        <v>53895.283</v>
      </c>
      <c r="D35" s="18">
        <f>D36+D41</f>
        <v>40227.593</v>
      </c>
      <c r="E35" s="19">
        <f t="shared" si="0"/>
        <v>41.52501381978994</v>
      </c>
      <c r="F35" s="19">
        <f>SUM(D35)/C35*100</f>
        <v>74.64028531031185</v>
      </c>
    </row>
    <row r="36" spans="1:6" s="14" customFormat="1" ht="15">
      <c r="A36" s="30" t="s">
        <v>31</v>
      </c>
      <c r="B36" s="25">
        <v>87293.4</v>
      </c>
      <c r="C36" s="25">
        <v>47446.379</v>
      </c>
      <c r="D36" s="25">
        <f>37911.154+375.144</f>
        <v>38286.298</v>
      </c>
      <c r="E36" s="20">
        <f t="shared" si="0"/>
        <v>43.85932728018385</v>
      </c>
      <c r="F36" s="20">
        <f t="shared" si="1"/>
        <v>80.69382491759804</v>
      </c>
    </row>
    <row r="37" spans="1:6" s="3" customFormat="1" ht="15">
      <c r="A37" s="12" t="s">
        <v>1</v>
      </c>
      <c r="B37" s="11">
        <v>40460.715</v>
      </c>
      <c r="C37" s="11">
        <v>21766.973</v>
      </c>
      <c r="D37" s="11">
        <v>19087.298</v>
      </c>
      <c r="E37" s="20">
        <f aca="true" t="shared" si="2" ref="E37:E68">SUM(D37)/B37*100</f>
        <v>47.17489050799028</v>
      </c>
      <c r="F37" s="20">
        <f>SUM(D37)/C37*100</f>
        <v>87.68926207608196</v>
      </c>
    </row>
    <row r="38" spans="1:6" s="3" customFormat="1" ht="15">
      <c r="A38" s="12" t="s">
        <v>27</v>
      </c>
      <c r="B38" s="11">
        <v>8901.357</v>
      </c>
      <c r="C38" s="11">
        <v>4824.604</v>
      </c>
      <c r="D38" s="11">
        <v>4206.319</v>
      </c>
      <c r="E38" s="20">
        <f t="shared" si="2"/>
        <v>47.254806205390935</v>
      </c>
      <c r="F38" s="20">
        <f t="shared" si="1"/>
        <v>87.18475132881373</v>
      </c>
    </row>
    <row r="39" spans="1:6" s="3" customFormat="1" ht="15">
      <c r="A39" s="12" t="s">
        <v>29</v>
      </c>
      <c r="B39" s="11">
        <v>6464.382</v>
      </c>
      <c r="C39" s="11">
        <v>3520.122</v>
      </c>
      <c r="D39" s="11">
        <f>2967.058+17.228</f>
        <v>2984.286</v>
      </c>
      <c r="E39" s="20">
        <f t="shared" si="2"/>
        <v>46.1650626463597</v>
      </c>
      <c r="F39" s="20">
        <f t="shared" si="1"/>
        <v>84.7779139473007</v>
      </c>
    </row>
    <row r="40" spans="1:6" s="3" customFormat="1" ht="15">
      <c r="A40" s="12" t="s">
        <v>13</v>
      </c>
      <c r="B40" s="11">
        <f>SUM(B36)-B37-B38-B39</f>
        <v>31466.945999999996</v>
      </c>
      <c r="C40" s="11">
        <f>SUM(C36)-C37-C38-C39</f>
        <v>17334.68</v>
      </c>
      <c r="D40" s="11">
        <f>SUM(D36)-D37-D38-D39</f>
        <v>12008.395000000004</v>
      </c>
      <c r="E40" s="20">
        <f t="shared" si="2"/>
        <v>38.16193347775156</v>
      </c>
      <c r="F40" s="20">
        <f t="shared" si="1"/>
        <v>69.2738198801478</v>
      </c>
    </row>
    <row r="41" spans="1:6" s="3" customFormat="1" ht="15">
      <c r="A41" s="30" t="s">
        <v>14</v>
      </c>
      <c r="B41" s="25">
        <v>9582.168</v>
      </c>
      <c r="C41" s="25">
        <v>6448.904</v>
      </c>
      <c r="D41" s="25">
        <v>1941.295</v>
      </c>
      <c r="E41" s="20">
        <f t="shared" si="2"/>
        <v>20.25945485405808</v>
      </c>
      <c r="F41" s="20">
        <f t="shared" si="1"/>
        <v>30.10271202672578</v>
      </c>
    </row>
    <row r="42" spans="1:6" s="2" customFormat="1" ht="14.25">
      <c r="A42" s="17" t="s">
        <v>8</v>
      </c>
      <c r="B42" s="18">
        <f>B43+B48</f>
        <v>54781.755</v>
      </c>
      <c r="C42" s="18">
        <f>C43+C48</f>
        <v>29579.85</v>
      </c>
      <c r="D42" s="18">
        <f>D43+D48</f>
        <v>22170.285</v>
      </c>
      <c r="E42" s="19">
        <f t="shared" si="2"/>
        <v>40.47019851773643</v>
      </c>
      <c r="F42" s="19">
        <f t="shared" si="1"/>
        <v>74.95063362390276</v>
      </c>
    </row>
    <row r="43" spans="1:6" s="14" customFormat="1" ht="15">
      <c r="A43" s="30" t="s">
        <v>31</v>
      </c>
      <c r="B43" s="25">
        <v>51203.062</v>
      </c>
      <c r="C43" s="25">
        <v>26001.157</v>
      </c>
      <c r="D43" s="25">
        <f>20894.317+106.91</f>
        <v>21001.227</v>
      </c>
      <c r="E43" s="20">
        <f t="shared" si="2"/>
        <v>41.01556856111457</v>
      </c>
      <c r="F43" s="20">
        <f t="shared" si="1"/>
        <v>80.7703557191705</v>
      </c>
    </row>
    <row r="44" spans="1:6" s="3" customFormat="1" ht="15">
      <c r="A44" s="12" t="s">
        <v>1</v>
      </c>
      <c r="B44" s="11">
        <v>24685.189</v>
      </c>
      <c r="C44" s="11">
        <v>11850.757</v>
      </c>
      <c r="D44" s="11">
        <v>10295.7</v>
      </c>
      <c r="E44" s="20">
        <f t="shared" si="2"/>
        <v>41.70800555750252</v>
      </c>
      <c r="F44" s="20">
        <f>SUM(D44)/C44*100</f>
        <v>86.87799437622424</v>
      </c>
    </row>
    <row r="45" spans="1:6" s="3" customFormat="1" ht="15">
      <c r="A45" s="12" t="s">
        <v>27</v>
      </c>
      <c r="B45" s="11">
        <v>5430.741</v>
      </c>
      <c r="C45" s="11">
        <v>2609.511</v>
      </c>
      <c r="D45" s="11">
        <v>2261.85</v>
      </c>
      <c r="E45" s="20">
        <f t="shared" si="2"/>
        <v>41.64901253806801</v>
      </c>
      <c r="F45" s="20">
        <f t="shared" si="1"/>
        <v>86.67715905393769</v>
      </c>
    </row>
    <row r="46" spans="1:6" s="3" customFormat="1" ht="15">
      <c r="A46" s="12" t="s">
        <v>29</v>
      </c>
      <c r="B46" s="11">
        <v>4194.121</v>
      </c>
      <c r="C46" s="11">
        <v>1949.844</v>
      </c>
      <c r="D46" s="11">
        <v>1684.713</v>
      </c>
      <c r="E46" s="20">
        <f t="shared" si="2"/>
        <v>40.168440538553845</v>
      </c>
      <c r="F46" s="20">
        <f t="shared" si="1"/>
        <v>86.40245065759106</v>
      </c>
    </row>
    <row r="47" spans="1:6" s="3" customFormat="1" ht="15">
      <c r="A47" s="12" t="s">
        <v>13</v>
      </c>
      <c r="B47" s="11">
        <f>SUM(B43)-B44-B45-B46</f>
        <v>16893.011</v>
      </c>
      <c r="C47" s="11">
        <f>SUM(C43)-C44-C45-C46</f>
        <v>9591.044999999998</v>
      </c>
      <c r="D47" s="11">
        <f>SUM(D43)-D44-D45-D46</f>
        <v>6758.963999999998</v>
      </c>
      <c r="E47" s="20">
        <f t="shared" si="2"/>
        <v>40.01041614191809</v>
      </c>
      <c r="F47" s="20">
        <f t="shared" si="1"/>
        <v>70.47161180038253</v>
      </c>
    </row>
    <row r="48" spans="1:6" s="3" customFormat="1" ht="15">
      <c r="A48" s="30" t="s">
        <v>14</v>
      </c>
      <c r="B48" s="25">
        <v>3578.693</v>
      </c>
      <c r="C48" s="25">
        <v>3578.693</v>
      </c>
      <c r="D48" s="25">
        <f>1112.47+56.588</f>
        <v>1169.058</v>
      </c>
      <c r="E48" s="20">
        <f t="shared" si="2"/>
        <v>32.66717765396473</v>
      </c>
      <c r="F48" s="20">
        <f t="shared" si="1"/>
        <v>32.66717765396473</v>
      </c>
    </row>
    <row r="49" spans="1:6" s="3" customFormat="1" ht="14.25">
      <c r="A49" s="17" t="s">
        <v>0</v>
      </c>
      <c r="B49" s="18">
        <f>B50+B55</f>
        <v>90568.01</v>
      </c>
      <c r="C49" s="18">
        <f>C50+C55</f>
        <v>42171.949</v>
      </c>
      <c r="D49" s="18">
        <f>D50+D55</f>
        <v>32293.335</v>
      </c>
      <c r="E49" s="19">
        <f t="shared" si="2"/>
        <v>35.65644756906992</v>
      </c>
      <c r="F49" s="19">
        <f t="shared" si="1"/>
        <v>76.57539138160297</v>
      </c>
    </row>
    <row r="50" spans="1:6" s="3" customFormat="1" ht="15">
      <c r="A50" s="30" t="s">
        <v>31</v>
      </c>
      <c r="B50" s="25">
        <v>82568.01</v>
      </c>
      <c r="C50" s="25">
        <v>39039.249</v>
      </c>
      <c r="D50" s="25">
        <v>31881.093</v>
      </c>
      <c r="E50" s="20">
        <f t="shared" si="2"/>
        <v>38.61191882909616</v>
      </c>
      <c r="F50" s="20">
        <f t="shared" si="1"/>
        <v>81.66420670643537</v>
      </c>
    </row>
    <row r="51" spans="1:6" s="3" customFormat="1" ht="15">
      <c r="A51" s="12" t="s">
        <v>1</v>
      </c>
      <c r="B51" s="11">
        <v>50916.2</v>
      </c>
      <c r="C51" s="11">
        <v>24030.187</v>
      </c>
      <c r="D51" s="11">
        <v>20438.625</v>
      </c>
      <c r="E51" s="20">
        <f t="shared" si="2"/>
        <v>40.141693606357116</v>
      </c>
      <c r="F51" s="20">
        <f>SUM(D51)/C51*100</f>
        <v>85.05395734123915</v>
      </c>
    </row>
    <row r="52" spans="1:6" s="3" customFormat="1" ht="15">
      <c r="A52" s="12" t="s">
        <v>27</v>
      </c>
      <c r="B52" s="11">
        <v>11270.743</v>
      </c>
      <c r="C52" s="11">
        <v>5317.002</v>
      </c>
      <c r="D52" s="11">
        <v>4492.421</v>
      </c>
      <c r="E52" s="20">
        <f t="shared" si="2"/>
        <v>39.85913794680617</v>
      </c>
      <c r="F52" s="20">
        <f t="shared" si="1"/>
        <v>84.49161764468022</v>
      </c>
    </row>
    <row r="53" spans="1:6" s="3" customFormat="1" ht="15">
      <c r="A53" s="12" t="s">
        <v>29</v>
      </c>
      <c r="B53" s="11">
        <v>4798.274</v>
      </c>
      <c r="C53" s="11">
        <v>2185.256</v>
      </c>
      <c r="D53" s="11">
        <v>2072.781</v>
      </c>
      <c r="E53" s="20">
        <f t="shared" si="2"/>
        <v>43.198470950179164</v>
      </c>
      <c r="F53" s="20">
        <f t="shared" si="1"/>
        <v>94.85300578055845</v>
      </c>
    </row>
    <row r="54" spans="1:6" s="3" customFormat="1" ht="15">
      <c r="A54" s="12" t="s">
        <v>13</v>
      </c>
      <c r="B54" s="11">
        <f>SUM(B50)-B51-B52-B53</f>
        <v>15582.792999999994</v>
      </c>
      <c r="C54" s="11">
        <f>SUM(C50)-C51-C52-C53</f>
        <v>7506.804000000002</v>
      </c>
      <c r="D54" s="11">
        <f>SUM(D50)-D51-D52-D53</f>
        <v>4877.2660000000005</v>
      </c>
      <c r="E54" s="20">
        <f t="shared" si="2"/>
        <v>31.29904889322474</v>
      </c>
      <c r="F54" s="20">
        <f t="shared" si="1"/>
        <v>64.97127139592294</v>
      </c>
    </row>
    <row r="55" spans="1:6" s="3" customFormat="1" ht="15">
      <c r="A55" s="30" t="s">
        <v>14</v>
      </c>
      <c r="B55" s="25">
        <v>8000</v>
      </c>
      <c r="C55" s="25">
        <v>3132.7</v>
      </c>
      <c r="D55" s="25">
        <v>412.242</v>
      </c>
      <c r="E55" s="20">
        <f t="shared" si="2"/>
        <v>5.1530249999999995</v>
      </c>
      <c r="F55" s="20">
        <f t="shared" si="1"/>
        <v>13.15931943690746</v>
      </c>
    </row>
    <row r="56" spans="1:6" s="3" customFormat="1" ht="14.25" customHeight="1">
      <c r="A56" s="21" t="s">
        <v>9</v>
      </c>
      <c r="B56" s="22">
        <f>B57+B60</f>
        <v>305839.955</v>
      </c>
      <c r="C56" s="22">
        <f>C57+C60</f>
        <v>110306.231</v>
      </c>
      <c r="D56" s="22">
        <f>D57+D60</f>
        <v>52247.22</v>
      </c>
      <c r="E56" s="19">
        <f t="shared" si="2"/>
        <v>17.08318980101864</v>
      </c>
      <c r="F56" s="19">
        <f t="shared" si="1"/>
        <v>47.365610742334226</v>
      </c>
    </row>
    <row r="57" spans="1:6" s="3" customFormat="1" ht="14.25" customHeight="1">
      <c r="A57" s="30" t="s">
        <v>31</v>
      </c>
      <c r="B57" s="25">
        <v>179266.277</v>
      </c>
      <c r="C57" s="25">
        <v>77430.345</v>
      </c>
      <c r="D57" s="25">
        <v>45294.704</v>
      </c>
      <c r="E57" s="20">
        <f t="shared" si="2"/>
        <v>25.2667176214074</v>
      </c>
      <c r="F57" s="20">
        <f t="shared" si="1"/>
        <v>58.497355268144545</v>
      </c>
    </row>
    <row r="58" spans="1:6" s="3" customFormat="1" ht="15">
      <c r="A58" s="12" t="s">
        <v>29</v>
      </c>
      <c r="B58" s="11">
        <v>20033.7</v>
      </c>
      <c r="C58" s="11">
        <v>10442.234</v>
      </c>
      <c r="D58" s="11">
        <v>9345.701</v>
      </c>
      <c r="E58" s="20">
        <f t="shared" si="2"/>
        <v>46.64989991863709</v>
      </c>
      <c r="F58" s="20">
        <f>SUM(D58)/C58*100</f>
        <v>89.49905738561307</v>
      </c>
    </row>
    <row r="59" spans="1:6" s="3" customFormat="1" ht="15">
      <c r="A59" s="12" t="s">
        <v>13</v>
      </c>
      <c r="B59" s="11">
        <f>SUM(B57)-B58</f>
        <v>159232.577</v>
      </c>
      <c r="C59" s="11">
        <f>SUM(C57)-C58</f>
        <v>66988.111</v>
      </c>
      <c r="D59" s="11">
        <f>SUM(D57)-D58</f>
        <v>35949.003</v>
      </c>
      <c r="E59" s="20">
        <f t="shared" si="2"/>
        <v>22.576412237553626</v>
      </c>
      <c r="F59" s="20">
        <f t="shared" si="1"/>
        <v>53.66475104813747</v>
      </c>
    </row>
    <row r="60" spans="1:6" s="3" customFormat="1" ht="15">
      <c r="A60" s="30" t="s">
        <v>14</v>
      </c>
      <c r="B60" s="25">
        <v>126573.678</v>
      </c>
      <c r="C60" s="25">
        <f>30410.886+2465</f>
        <v>32875.886</v>
      </c>
      <c r="D60" s="25">
        <v>6952.516</v>
      </c>
      <c r="E60" s="20">
        <f t="shared" si="2"/>
        <v>5.492860845838737</v>
      </c>
      <c r="F60" s="20">
        <f t="shared" si="1"/>
        <v>21.147767698184623</v>
      </c>
    </row>
    <row r="61" spans="1:6" s="3" customFormat="1" ht="17.25" customHeight="1">
      <c r="A61" s="21" t="s">
        <v>21</v>
      </c>
      <c r="B61" s="22">
        <f>SUM(B62)</f>
        <v>97307.069</v>
      </c>
      <c r="C61" s="22">
        <f>SUM(C62)</f>
        <v>32655.587</v>
      </c>
      <c r="D61" s="22">
        <f>SUM(D62)</f>
        <v>2896.632</v>
      </c>
      <c r="E61" s="20">
        <f t="shared" si="2"/>
        <v>2.9767950363400626</v>
      </c>
      <c r="F61" s="20">
        <f t="shared" si="1"/>
        <v>8.870249369579545</v>
      </c>
    </row>
    <row r="62" spans="1:6" s="3" customFormat="1" ht="15">
      <c r="A62" s="30" t="s">
        <v>14</v>
      </c>
      <c r="B62" s="25">
        <v>97307.069</v>
      </c>
      <c r="C62" s="25">
        <f>14666.272+17989.315</f>
        <v>32655.587</v>
      </c>
      <c r="D62" s="25">
        <v>2896.632</v>
      </c>
      <c r="E62" s="20">
        <f t="shared" si="2"/>
        <v>2.9767950363400626</v>
      </c>
      <c r="F62" s="20">
        <f t="shared" si="1"/>
        <v>8.870249369579545</v>
      </c>
    </row>
    <row r="63" spans="1:6" s="3" customFormat="1" ht="15" customHeight="1">
      <c r="A63" s="23" t="s">
        <v>16</v>
      </c>
      <c r="B63" s="22">
        <f>SUM(B64:B65)</f>
        <v>192940.72999999998</v>
      </c>
      <c r="C63" s="22">
        <f>SUM(C64:C65)</f>
        <v>86916.266</v>
      </c>
      <c r="D63" s="22">
        <f>1832.812+718.781</f>
        <v>2551.593</v>
      </c>
      <c r="E63" s="19">
        <f t="shared" si="2"/>
        <v>1.3224750419468196</v>
      </c>
      <c r="F63" s="19">
        <f t="shared" si="1"/>
        <v>2.9356910017280304</v>
      </c>
    </row>
    <row r="64" spans="1:6" s="3" customFormat="1" ht="15">
      <c r="A64" s="30" t="s">
        <v>13</v>
      </c>
      <c r="B64" s="25">
        <v>82070.117</v>
      </c>
      <c r="C64" s="25">
        <v>47146.367</v>
      </c>
      <c r="D64" s="25">
        <v>30857.409</v>
      </c>
      <c r="E64" s="20">
        <f t="shared" si="2"/>
        <v>37.59883637061222</v>
      </c>
      <c r="F64" s="20">
        <f t="shared" si="1"/>
        <v>65.4502371306786</v>
      </c>
    </row>
    <row r="65" spans="1:6" s="3" customFormat="1" ht="15">
      <c r="A65" s="30" t="s">
        <v>14</v>
      </c>
      <c r="B65" s="25">
        <v>110870.613</v>
      </c>
      <c r="C65" s="25">
        <v>39769.899</v>
      </c>
      <c r="D65" s="25">
        <v>10803.075</v>
      </c>
      <c r="E65" s="20">
        <f t="shared" si="2"/>
        <v>9.743857914811024</v>
      </c>
      <c r="F65" s="20">
        <f t="shared" si="1"/>
        <v>27.163948794539312</v>
      </c>
    </row>
    <row r="66" spans="1:6" s="3" customFormat="1" ht="60.75" customHeight="1">
      <c r="A66" s="24" t="s">
        <v>20</v>
      </c>
      <c r="B66" s="22">
        <f>SUM(B67:B67)</f>
        <v>6900</v>
      </c>
      <c r="C66" s="22">
        <f>SUM(C67:C67)</f>
        <v>300</v>
      </c>
      <c r="D66" s="22">
        <f>SUM(D67:D67)</f>
        <v>300</v>
      </c>
      <c r="E66" s="19">
        <f t="shared" si="2"/>
        <v>4.3478260869565215</v>
      </c>
      <c r="F66" s="19">
        <f t="shared" si="1"/>
        <v>100</v>
      </c>
    </row>
    <row r="67" spans="1:6" s="3" customFormat="1" ht="15">
      <c r="A67" s="30" t="s">
        <v>14</v>
      </c>
      <c r="B67" s="25">
        <v>6900</v>
      </c>
      <c r="C67" s="25">
        <v>300</v>
      </c>
      <c r="D67" s="25">
        <v>300</v>
      </c>
      <c r="E67" s="20">
        <f t="shared" si="2"/>
        <v>4.3478260869565215</v>
      </c>
      <c r="F67" s="20">
        <f t="shared" si="1"/>
        <v>100</v>
      </c>
    </row>
    <row r="68" spans="1:6" s="3" customFormat="1" ht="42.75">
      <c r="A68" s="23" t="s">
        <v>10</v>
      </c>
      <c r="B68" s="18">
        <f>SUM(B69)+B72</f>
        <v>9526</v>
      </c>
      <c r="C68" s="18">
        <f>SUM(C69)+C72</f>
        <v>4573.131</v>
      </c>
      <c r="D68" s="18">
        <f>SUM(D69)+D72</f>
        <v>2432.039</v>
      </c>
      <c r="E68" s="19">
        <f t="shared" si="2"/>
        <v>25.53053747638043</v>
      </c>
      <c r="F68" s="19">
        <f t="shared" si="1"/>
        <v>53.181048170279844</v>
      </c>
    </row>
    <row r="69" spans="1:6" s="3" customFormat="1" ht="15">
      <c r="A69" s="30" t="s">
        <v>31</v>
      </c>
      <c r="B69" s="25">
        <v>8800.034</v>
      </c>
      <c r="C69" s="25">
        <v>4573.131</v>
      </c>
      <c r="D69" s="25">
        <v>2432.039</v>
      </c>
      <c r="E69" s="20">
        <f aca="true" t="shared" si="3" ref="E69:E90">SUM(D69)/B69*100</f>
        <v>27.63670004002258</v>
      </c>
      <c r="F69" s="20">
        <f t="shared" si="1"/>
        <v>53.181048170279844</v>
      </c>
    </row>
    <row r="70" spans="1:6" s="3" customFormat="1" ht="15">
      <c r="A70" s="12" t="s">
        <v>29</v>
      </c>
      <c r="B70" s="11">
        <v>14.956</v>
      </c>
      <c r="C70" s="11">
        <v>11.14</v>
      </c>
      <c r="D70" s="11">
        <v>1.397</v>
      </c>
      <c r="E70" s="20">
        <f t="shared" si="3"/>
        <v>9.340732816261033</v>
      </c>
      <c r="F70" s="20">
        <f t="shared" si="1"/>
        <v>12.540394973070018</v>
      </c>
    </row>
    <row r="71" spans="1:6" s="3" customFormat="1" ht="15">
      <c r="A71" s="12" t="s">
        <v>13</v>
      </c>
      <c r="B71" s="11">
        <f>SUM(B69)-B70</f>
        <v>8785.078</v>
      </c>
      <c r="C71" s="11">
        <f>SUM(C69)-C70</f>
        <v>4561.991</v>
      </c>
      <c r="D71" s="11">
        <f>SUM(D69)-D70</f>
        <v>2430.6420000000003</v>
      </c>
      <c r="E71" s="19">
        <f t="shared" si="3"/>
        <v>27.667847684448567</v>
      </c>
      <c r="F71" s="19">
        <f t="shared" si="1"/>
        <v>53.28028924213135</v>
      </c>
    </row>
    <row r="72" spans="1:6" s="3" customFormat="1" ht="15">
      <c r="A72" s="30" t="s">
        <v>14</v>
      </c>
      <c r="B72" s="25">
        <v>725.966</v>
      </c>
      <c r="C72" s="25"/>
      <c r="D72" s="25"/>
      <c r="E72" s="20">
        <f t="shared" si="3"/>
        <v>0</v>
      </c>
      <c r="F72" s="20" t="e">
        <f>SUM(D72)/C72*100</f>
        <v>#DIV/0!</v>
      </c>
    </row>
    <row r="73" spans="1:6" s="2" customFormat="1" ht="15">
      <c r="A73" s="23" t="s">
        <v>11</v>
      </c>
      <c r="B73" s="18">
        <v>2470</v>
      </c>
      <c r="C73" s="18">
        <v>570</v>
      </c>
      <c r="D73" s="18"/>
      <c r="E73" s="20">
        <f t="shared" si="3"/>
        <v>0</v>
      </c>
      <c r="F73" s="20">
        <f t="shared" si="1"/>
        <v>0</v>
      </c>
    </row>
    <row r="74" spans="1:6" s="2" customFormat="1" ht="15">
      <c r="A74" s="23" t="s">
        <v>12</v>
      </c>
      <c r="B74" s="18">
        <v>37806.6</v>
      </c>
      <c r="C74" s="18">
        <v>18903.6</v>
      </c>
      <c r="D74" s="18">
        <v>16803.2</v>
      </c>
      <c r="E74" s="20">
        <f t="shared" si="3"/>
        <v>44.44514978866124</v>
      </c>
      <c r="F74" s="20">
        <f aca="true" t="shared" si="4" ref="F74:F90">SUM(D74)/C74*100</f>
        <v>88.8888888888889</v>
      </c>
    </row>
    <row r="75" spans="1:6" s="2" customFormat="1" ht="15">
      <c r="A75" s="17" t="s">
        <v>17</v>
      </c>
      <c r="B75" s="18">
        <f>SUM(B76)+B80</f>
        <v>18652.517</v>
      </c>
      <c r="C75" s="18">
        <f>SUM(C76)+C80</f>
        <v>12983.265</v>
      </c>
      <c r="D75" s="18">
        <f>SUM(D76)+D80</f>
        <v>933.008</v>
      </c>
      <c r="E75" s="20">
        <f t="shared" si="3"/>
        <v>5.002048785158593</v>
      </c>
      <c r="F75" s="20">
        <f t="shared" si="4"/>
        <v>7.186235511637482</v>
      </c>
    </row>
    <row r="76" spans="1:6" s="2" customFormat="1" ht="15">
      <c r="A76" s="30" t="s">
        <v>31</v>
      </c>
      <c r="B76" s="25">
        <f>11714.289-51+830.938</f>
        <v>12494.227</v>
      </c>
      <c r="C76" s="25">
        <f>134+85+195.337+7948.422+32.019-636.201+1946.188</f>
        <v>9704.765</v>
      </c>
      <c r="D76" s="25">
        <f>218.769+36+53.875+653.87-572.473+15.001+15.946+29.534+90.001+103.336+122.519+94.84+71.79</f>
        <v>933.008</v>
      </c>
      <c r="E76" s="19">
        <f t="shared" si="3"/>
        <v>7.467512796109756</v>
      </c>
      <c r="F76" s="20">
        <f t="shared" si="4"/>
        <v>9.613916462686115</v>
      </c>
    </row>
    <row r="77" spans="1:6" s="3" customFormat="1" ht="15">
      <c r="A77" s="12" t="s">
        <v>1</v>
      </c>
      <c r="B77" s="11"/>
      <c r="C77" s="11"/>
      <c r="D77" s="11"/>
      <c r="E77" s="19"/>
      <c r="F77" s="19"/>
    </row>
    <row r="78" spans="1:6" s="3" customFormat="1" ht="15">
      <c r="A78" s="12" t="s">
        <v>27</v>
      </c>
      <c r="B78" s="11"/>
      <c r="C78" s="11"/>
      <c r="D78" s="11"/>
      <c r="E78" s="19"/>
      <c r="F78" s="19"/>
    </row>
    <row r="79" spans="1:6" s="3" customFormat="1" ht="15">
      <c r="A79" s="12" t="s">
        <v>13</v>
      </c>
      <c r="B79" s="11">
        <f>SUM(B76)-B77-B78</f>
        <v>12494.227</v>
      </c>
      <c r="C79" s="11">
        <f>SUM(C76)-C77-C78</f>
        <v>9704.765</v>
      </c>
      <c r="D79" s="11">
        <f>SUM(D76)-D77-D78</f>
        <v>933.008</v>
      </c>
      <c r="E79" s="20">
        <f t="shared" si="3"/>
        <v>7.467512796109756</v>
      </c>
      <c r="F79" s="20">
        <f>SUM(D79)/C79*100</f>
        <v>9.613916462686115</v>
      </c>
    </row>
    <row r="80" spans="1:6" s="3" customFormat="1" ht="15">
      <c r="A80" s="30" t="s">
        <v>14</v>
      </c>
      <c r="B80" s="25">
        <v>6158.29</v>
      </c>
      <c r="C80" s="25">
        <f>2978.5+300</f>
        <v>3278.5</v>
      </c>
      <c r="D80" s="25"/>
      <c r="E80" s="20">
        <f t="shared" si="3"/>
        <v>0</v>
      </c>
      <c r="F80" s="20">
        <f t="shared" si="4"/>
        <v>0</v>
      </c>
    </row>
    <row r="81" spans="1:6" s="3" customFormat="1" ht="40.5">
      <c r="A81" s="26" t="s">
        <v>23</v>
      </c>
      <c r="B81" s="18">
        <f>15000+775.5-705.5</f>
        <v>15070</v>
      </c>
      <c r="C81" s="18">
        <f>15000+39.6</f>
        <v>15039.6</v>
      </c>
      <c r="D81" s="18">
        <v>8000</v>
      </c>
      <c r="E81" s="20">
        <f t="shared" si="3"/>
        <v>53.085600530856006</v>
      </c>
      <c r="F81" s="20">
        <f t="shared" si="4"/>
        <v>53.192904066597514</v>
      </c>
    </row>
    <row r="82" spans="1:12" s="9" customFormat="1" ht="15.75">
      <c r="A82" s="27" t="s">
        <v>25</v>
      </c>
      <c r="B82" s="28">
        <f>B5+B14+B23+B35+B42+B49+B56+B61+B63+B66+B68+B73+B74+B75+B81</f>
        <v>2728723.162</v>
      </c>
      <c r="C82" s="28">
        <f>C5+C14+C23+C35+C42+C49+C56+C61+C63+C66+C68+C73+C74+C75+C81</f>
        <v>1392698.3280000004</v>
      </c>
      <c r="D82" s="28">
        <f>D5+D14+D23+D35+D42+D49+D56+D61+D63+D66+D68+D73+D74+D75+D81</f>
        <v>1005211.2739999999</v>
      </c>
      <c r="E82" s="20">
        <f t="shared" si="3"/>
        <v>36.83815522213828</v>
      </c>
      <c r="F82" s="20">
        <f t="shared" si="4"/>
        <v>72.17724425960535</v>
      </c>
      <c r="G82" s="5"/>
      <c r="H82" s="6"/>
      <c r="I82" s="5"/>
      <c r="J82" s="7"/>
      <c r="K82" s="8"/>
      <c r="L82" s="8"/>
    </row>
    <row r="83" spans="1:12" s="9" customFormat="1" ht="15.75">
      <c r="A83" s="17" t="s">
        <v>31</v>
      </c>
      <c r="B83" s="28">
        <f>B6+B15+B24+B36+B43+B50+B57+B64+B69+B76+B74</f>
        <v>2286234.51</v>
      </c>
      <c r="C83" s="28">
        <f>C6+C15+C24+C36+C43+C50+C57+C64+C69+C76+C74</f>
        <v>1234655.654</v>
      </c>
      <c r="D83" s="28">
        <f>D6+D15+D24+D36+D43+D50+D57+D64+D69+D76+D74</f>
        <v>1004688.6629999998</v>
      </c>
      <c r="E83" s="20">
        <f t="shared" si="3"/>
        <v>43.945127177701465</v>
      </c>
      <c r="F83" s="20">
        <f t="shared" si="4"/>
        <v>81.37399766040352</v>
      </c>
      <c r="G83" s="5"/>
      <c r="H83" s="6"/>
      <c r="I83" s="5"/>
      <c r="J83" s="7"/>
      <c r="K83" s="8"/>
      <c r="L83" s="8"/>
    </row>
    <row r="84" spans="1:6" s="4" customFormat="1" ht="15">
      <c r="A84" s="29" t="s">
        <v>1</v>
      </c>
      <c r="B84" s="22">
        <f aca="true" t="shared" si="5" ref="B84:D85">B7+B16+B25+B37+B44+B51+B77</f>
        <v>754676.7779999999</v>
      </c>
      <c r="C84" s="22">
        <f t="shared" si="5"/>
        <v>408636.55299999996</v>
      </c>
      <c r="D84" s="22">
        <f t="shared" si="5"/>
        <v>330736.804</v>
      </c>
      <c r="E84" s="19">
        <f t="shared" si="3"/>
        <v>43.82496104842384</v>
      </c>
      <c r="F84" s="19">
        <f t="shared" si="4"/>
        <v>80.93666647584512</v>
      </c>
    </row>
    <row r="85" spans="1:6" ht="15">
      <c r="A85" s="29" t="s">
        <v>28</v>
      </c>
      <c r="B85" s="22">
        <f t="shared" si="5"/>
        <v>166063.64299999998</v>
      </c>
      <c r="C85" s="22">
        <f t="shared" si="5"/>
        <v>90203.389</v>
      </c>
      <c r="D85" s="22">
        <f t="shared" si="5"/>
        <v>72954.84300000001</v>
      </c>
      <c r="E85" s="19">
        <f t="shared" si="3"/>
        <v>43.93185749875427</v>
      </c>
      <c r="F85" s="19">
        <f t="shared" si="4"/>
        <v>80.8781619058681</v>
      </c>
    </row>
    <row r="86" spans="1:6" ht="15">
      <c r="A86" s="29" t="s">
        <v>2</v>
      </c>
      <c r="B86" s="22">
        <f>B70+B11+B20+B29+B39+B46+B53+B58</f>
        <v>165680.90200000006</v>
      </c>
      <c r="C86" s="22">
        <f>C70+C11+C20+C29+C39+C46+C53+C58</f>
        <v>86280.61899999998</v>
      </c>
      <c r="D86" s="22">
        <f>D70+D11+D20+D29+D39+D46+D53+D58</f>
        <v>75376.409</v>
      </c>
      <c r="E86" s="19">
        <f t="shared" si="3"/>
        <v>45.49492916208288</v>
      </c>
      <c r="F86" s="19">
        <f>SUM(D86)/C86*100</f>
        <v>87.36192423468823</v>
      </c>
    </row>
    <row r="87" spans="1:6" ht="15">
      <c r="A87" s="29" t="s">
        <v>13</v>
      </c>
      <c r="B87" s="22">
        <f>B83-B84-B85-B86</f>
        <v>1199813.187</v>
      </c>
      <c r="C87" s="22">
        <f>C83-C84-C85-C86</f>
        <v>649535.0930000002</v>
      </c>
      <c r="D87" s="22">
        <f>D83-D84-D85-D86</f>
        <v>525620.6069999998</v>
      </c>
      <c r="E87" s="19">
        <f t="shared" si="3"/>
        <v>43.808537253558285</v>
      </c>
      <c r="F87" s="19">
        <f t="shared" si="4"/>
        <v>80.92258796554349</v>
      </c>
    </row>
    <row r="88" spans="1:6" ht="20.25" customHeight="1">
      <c r="A88" s="17" t="s">
        <v>14</v>
      </c>
      <c r="B88" s="18">
        <f>B13+B22+B41+B34+B55+B60+B62+B65+B67+B72+B80+B48</f>
        <v>424948.65200000006</v>
      </c>
      <c r="C88" s="18">
        <f>C13+C22+C41+C34+C55+C60+C62+C65+C67+C72+C80+C48</f>
        <v>142433.074</v>
      </c>
      <c r="D88" s="18">
        <f>D13+D22+D41+D34+D55+D60+D62+D65+D67+D72+D80+D48</f>
        <v>31631.502000000004</v>
      </c>
      <c r="E88" s="19">
        <f t="shared" si="3"/>
        <v>7.443605680622325</v>
      </c>
      <c r="F88" s="19">
        <f t="shared" si="4"/>
        <v>22.207975375157602</v>
      </c>
    </row>
    <row r="89" spans="1:6" ht="15">
      <c r="A89" s="17" t="s">
        <v>24</v>
      </c>
      <c r="B89" s="18">
        <f>SUM(B81)</f>
        <v>15070</v>
      </c>
      <c r="C89" s="18">
        <f>SUM(C81)</f>
        <v>15039.6</v>
      </c>
      <c r="D89" s="18">
        <f>SUM(D81)</f>
        <v>8000</v>
      </c>
      <c r="E89" s="19">
        <f t="shared" si="3"/>
        <v>53.085600530856006</v>
      </c>
      <c r="F89" s="19">
        <f t="shared" si="4"/>
        <v>53.192904066597514</v>
      </c>
    </row>
    <row r="90" spans="1:6" ht="15">
      <c r="A90" s="17" t="s">
        <v>30</v>
      </c>
      <c r="B90" s="18">
        <f>SUM(B73)</f>
        <v>2470</v>
      </c>
      <c r="C90" s="18">
        <f>SUM(C73)</f>
        <v>570</v>
      </c>
      <c r="D90" s="18"/>
      <c r="E90" s="19">
        <f t="shared" si="3"/>
        <v>0</v>
      </c>
      <c r="F90" s="19">
        <f t="shared" si="4"/>
        <v>0</v>
      </c>
    </row>
    <row r="91" spans="5:7" ht="15">
      <c r="E91" s="63"/>
      <c r="F91" s="63"/>
      <c r="G91" s="64"/>
    </row>
    <row r="92" spans="3:7" ht="15">
      <c r="C92" s="54"/>
      <c r="D92" s="59"/>
      <c r="E92" s="63"/>
      <c r="F92" s="63"/>
      <c r="G92" s="64"/>
    </row>
    <row r="93" spans="3:7" ht="15">
      <c r="C93" s="55"/>
      <c r="D93" s="57"/>
      <c r="E93" s="63"/>
      <c r="F93" s="63"/>
      <c r="G93" s="64"/>
    </row>
    <row r="94" spans="3:7" ht="15">
      <c r="C94" s="60"/>
      <c r="D94" s="61"/>
      <c r="E94" s="65"/>
      <c r="F94" s="66"/>
      <c r="G94" s="64"/>
    </row>
    <row r="95" spans="3:5" ht="15">
      <c r="C95" s="62"/>
      <c r="D95" s="62"/>
      <c r="E95" s="55"/>
    </row>
    <row r="96" spans="3:4" ht="15">
      <c r="C96" s="54"/>
      <c r="D96" s="57"/>
    </row>
    <row r="97" spans="3:4" ht="15">
      <c r="C97" s="55"/>
      <c r="D97" s="56"/>
    </row>
    <row r="98" ht="15">
      <c r="D98" s="54"/>
    </row>
    <row r="100" ht="15">
      <c r="D100" s="55"/>
    </row>
  </sheetData>
  <sheetProtection/>
  <mergeCells count="7">
    <mergeCell ref="A1:F1"/>
    <mergeCell ref="F3:F4"/>
    <mergeCell ref="A3:A4"/>
    <mergeCell ref="C3:C4"/>
    <mergeCell ref="E3:E4"/>
    <mergeCell ref="D3:D4"/>
    <mergeCell ref="B3:B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PageLayoutView="0" workbookViewId="0" topLeftCell="A19">
      <selection activeCell="B5" sqref="B5:F90"/>
    </sheetView>
  </sheetViews>
  <sheetFormatPr defaultColWidth="9.140625" defaultRowHeight="15"/>
  <cols>
    <col min="1" max="1" width="36.140625" style="49" customWidth="1"/>
    <col min="2" max="2" width="17.28125" style="49" customWidth="1"/>
    <col min="3" max="3" width="15.8515625" style="49" customWidth="1"/>
    <col min="4" max="4" width="19.140625" style="49" customWidth="1"/>
    <col min="5" max="5" width="13.7109375" style="49" customWidth="1"/>
    <col min="6" max="6" width="15.140625" style="49" customWidth="1"/>
    <col min="7" max="16384" width="9.140625" style="49" customWidth="1"/>
  </cols>
  <sheetData>
    <row r="1" spans="1:6" s="31" customFormat="1" ht="40.5" customHeight="1">
      <c r="A1" s="73" t="s">
        <v>70</v>
      </c>
      <c r="B1" s="73"/>
      <c r="C1" s="73"/>
      <c r="D1" s="73"/>
      <c r="E1" s="73"/>
      <c r="F1" s="73"/>
    </row>
    <row r="2" spans="1:4" s="31" customFormat="1" ht="12.75" customHeight="1">
      <c r="A2" s="32"/>
      <c r="B2" s="32"/>
      <c r="C2" s="32"/>
      <c r="D2" s="33"/>
    </row>
    <row r="3" spans="1:6" s="31" customFormat="1" ht="44.25" customHeight="1">
      <c r="A3" s="74"/>
      <c r="B3" s="71" t="s">
        <v>66</v>
      </c>
      <c r="C3" s="71" t="s">
        <v>71</v>
      </c>
      <c r="D3" s="71" t="s">
        <v>74</v>
      </c>
      <c r="E3" s="71" t="s">
        <v>67</v>
      </c>
      <c r="F3" s="71" t="s">
        <v>68</v>
      </c>
    </row>
    <row r="4" spans="1:6" s="31" customFormat="1" ht="114" customHeight="1">
      <c r="A4" s="75"/>
      <c r="B4" s="72"/>
      <c r="C4" s="72"/>
      <c r="D4" s="72"/>
      <c r="E4" s="72"/>
      <c r="F4" s="72"/>
    </row>
    <row r="5" spans="1:6" s="35" customFormat="1" ht="14.25">
      <c r="A5" s="34" t="s">
        <v>33</v>
      </c>
      <c r="B5" s="18">
        <f>B6+B13</f>
        <v>723424.233</v>
      </c>
      <c r="C5" s="18">
        <f>C6+C13</f>
        <v>403779.042</v>
      </c>
      <c r="D5" s="18">
        <f>D6+D13</f>
        <v>309216.463</v>
      </c>
      <c r="E5" s="19">
        <f aca="true" t="shared" si="0" ref="E5:E68">SUM(D5)/B5*100</f>
        <v>42.743448296955236</v>
      </c>
      <c r="F5" s="19">
        <f>SUM(D5)/C5*100</f>
        <v>76.58061237363577</v>
      </c>
    </row>
    <row r="6" spans="1:6" s="37" customFormat="1" ht="15">
      <c r="A6" s="36" t="s">
        <v>34</v>
      </c>
      <c r="B6" s="25">
        <v>687011.794</v>
      </c>
      <c r="C6" s="25">
        <v>390767.914</v>
      </c>
      <c r="D6" s="25">
        <f>303000.708+232.002</f>
        <v>303232.70999999996</v>
      </c>
      <c r="E6" s="20">
        <f t="shared" si="0"/>
        <v>44.13791912282658</v>
      </c>
      <c r="F6" s="20">
        <f>SUM(D6)/C6*100</f>
        <v>77.59918333520085</v>
      </c>
    </row>
    <row r="7" spans="1:6" s="37" customFormat="1" ht="15">
      <c r="A7" s="38" t="s">
        <v>35</v>
      </c>
      <c r="B7" s="11">
        <v>401715.273</v>
      </c>
      <c r="C7" s="11">
        <v>236982.495</v>
      </c>
      <c r="D7" s="11">
        <f>183257.377+84.332</f>
        <v>183341.709</v>
      </c>
      <c r="E7" s="20">
        <f t="shared" si="0"/>
        <v>45.639715819318624</v>
      </c>
      <c r="F7" s="20">
        <f aca="true" t="shared" si="1" ref="F7:F73">SUM(D7)/C7*100</f>
        <v>77.36508513002195</v>
      </c>
    </row>
    <row r="8" spans="1:6" s="37" customFormat="1" ht="15">
      <c r="A8" s="38" t="s">
        <v>36</v>
      </c>
      <c r="B8" s="11">
        <v>88410.024</v>
      </c>
      <c r="C8" s="11">
        <v>52431.073</v>
      </c>
      <c r="D8" s="11">
        <f>40735.455+18.603</f>
        <v>40754.058000000005</v>
      </c>
      <c r="E8" s="20">
        <f t="shared" si="0"/>
        <v>46.096648497686196</v>
      </c>
      <c r="F8" s="20">
        <f t="shared" si="1"/>
        <v>77.72882694962205</v>
      </c>
    </row>
    <row r="9" spans="1:6" s="37" customFormat="1" ht="15">
      <c r="A9" s="38" t="s">
        <v>37</v>
      </c>
      <c r="B9" s="11">
        <v>153.271</v>
      </c>
      <c r="C9" s="11">
        <v>19.152</v>
      </c>
      <c r="D9" s="11">
        <v>12.503</v>
      </c>
      <c r="E9" s="20">
        <f t="shared" si="0"/>
        <v>8.157446614167064</v>
      </c>
      <c r="F9" s="20"/>
    </row>
    <row r="10" spans="1:6" s="37" customFormat="1" ht="15">
      <c r="A10" s="38" t="s">
        <v>38</v>
      </c>
      <c r="B10" s="11">
        <v>47933.507</v>
      </c>
      <c r="C10" s="11">
        <v>22205.705</v>
      </c>
      <c r="D10" s="11">
        <f>18048.547+25.788</f>
        <v>18074.335</v>
      </c>
      <c r="E10" s="20">
        <f t="shared" si="0"/>
        <v>37.70709912796491</v>
      </c>
      <c r="F10" s="20">
        <f t="shared" si="1"/>
        <v>81.39500637336215</v>
      </c>
    </row>
    <row r="11" spans="1:6" s="37" customFormat="1" ht="30">
      <c r="A11" s="38" t="s">
        <v>39</v>
      </c>
      <c r="B11" s="11">
        <v>92734.871</v>
      </c>
      <c r="C11" s="11">
        <v>47490.21</v>
      </c>
      <c r="D11" s="11">
        <v>43033.99</v>
      </c>
      <c r="E11" s="20">
        <f t="shared" si="0"/>
        <v>46.405402343202695</v>
      </c>
      <c r="F11" s="20">
        <f t="shared" si="1"/>
        <v>90.61655023214257</v>
      </c>
    </row>
    <row r="12" spans="1:6" s="37" customFormat="1" ht="15">
      <c r="A12" s="38" t="s">
        <v>40</v>
      </c>
      <c r="B12" s="11">
        <f>SUM(B6)-B7-B8-B9-B10-B11</f>
        <v>56064.84799999998</v>
      </c>
      <c r="C12" s="11">
        <f>SUM(C6)-C7-C8-C9-C10-C11</f>
        <v>31639.278999999988</v>
      </c>
      <c r="D12" s="11">
        <f>SUM(D6)-D7-D8-D9-D10-D11</f>
        <v>18016.11499999996</v>
      </c>
      <c r="E12" s="20">
        <f t="shared" si="0"/>
        <v>32.13442226758551</v>
      </c>
      <c r="F12" s="20">
        <f t="shared" si="1"/>
        <v>56.94224258397281</v>
      </c>
    </row>
    <row r="13" spans="1:6" s="37" customFormat="1" ht="15">
      <c r="A13" s="36" t="s">
        <v>41</v>
      </c>
      <c r="B13" s="25">
        <v>36412.439</v>
      </c>
      <c r="C13" s="25">
        <v>13011.128</v>
      </c>
      <c r="D13" s="25">
        <v>5983.753</v>
      </c>
      <c r="E13" s="20">
        <f t="shared" si="0"/>
        <v>16.433266115461258</v>
      </c>
      <c r="F13" s="20">
        <f t="shared" si="1"/>
        <v>45.989502216871585</v>
      </c>
    </row>
    <row r="14" spans="1:6" s="35" customFormat="1" ht="14.25">
      <c r="A14" s="34" t="s">
        <v>42</v>
      </c>
      <c r="B14" s="18">
        <f>B15+B22</f>
        <v>389669.912</v>
      </c>
      <c r="C14" s="18">
        <f>C15+C22</f>
        <v>191397.19000000003</v>
      </c>
      <c r="D14" s="18">
        <f>D15+D22</f>
        <v>155033.22699999998</v>
      </c>
      <c r="E14" s="19">
        <f t="shared" si="0"/>
        <v>39.78578335809514</v>
      </c>
      <c r="F14" s="19">
        <f t="shared" si="1"/>
        <v>81.00078533023392</v>
      </c>
    </row>
    <row r="15" spans="1:6" s="37" customFormat="1" ht="15">
      <c r="A15" s="36" t="s">
        <v>43</v>
      </c>
      <c r="B15" s="25">
        <f>349501.912+25271</f>
        <v>374772.912</v>
      </c>
      <c r="C15" s="25">
        <f>173741.684+12615.2</f>
        <v>186356.88400000002</v>
      </c>
      <c r="D15" s="25">
        <f>141829.613+516.153+11560.55</f>
        <v>153906.316</v>
      </c>
      <c r="E15" s="20">
        <f t="shared" si="0"/>
        <v>41.06655285694714</v>
      </c>
      <c r="F15" s="20">
        <f>SUM(D15)/C15*100</f>
        <v>82.58686918160747</v>
      </c>
    </row>
    <row r="16" spans="1:6" s="37" customFormat="1" ht="15">
      <c r="A16" s="38" t="s">
        <v>35</v>
      </c>
      <c r="B16" s="11">
        <v>221602.052</v>
      </c>
      <c r="C16" s="11">
        <v>106554.137</v>
      </c>
      <c r="D16" s="11">
        <v>91185.616</v>
      </c>
      <c r="E16" s="20">
        <f t="shared" si="0"/>
        <v>41.148362651443314</v>
      </c>
      <c r="F16" s="20">
        <f t="shared" si="1"/>
        <v>85.57679557763205</v>
      </c>
    </row>
    <row r="17" spans="1:6" s="37" customFormat="1" ht="15">
      <c r="A17" s="38" t="s">
        <v>36</v>
      </c>
      <c r="B17" s="11">
        <v>48697.18</v>
      </c>
      <c r="C17" s="11">
        <v>23396.168</v>
      </c>
      <c r="D17" s="11">
        <v>19849.922</v>
      </c>
      <c r="E17" s="20">
        <f t="shared" si="0"/>
        <v>40.761953772271816</v>
      </c>
      <c r="F17" s="20">
        <f t="shared" si="1"/>
        <v>84.84262038125216</v>
      </c>
    </row>
    <row r="18" spans="1:6" s="37" customFormat="1" ht="15">
      <c r="A18" s="38" t="s">
        <v>37</v>
      </c>
      <c r="B18" s="11">
        <v>16661.29</v>
      </c>
      <c r="C18" s="11">
        <v>9051.229</v>
      </c>
      <c r="D18" s="11">
        <f>6053.852+185.009</f>
        <v>6238.861</v>
      </c>
      <c r="E18" s="20">
        <f t="shared" si="0"/>
        <v>37.44524583630679</v>
      </c>
      <c r="F18" s="20">
        <f t="shared" si="1"/>
        <v>68.92833006434817</v>
      </c>
    </row>
    <row r="19" spans="1:6" s="37" customFormat="1" ht="15">
      <c r="A19" s="38" t="s">
        <v>38</v>
      </c>
      <c r="B19" s="11">
        <v>6745.744</v>
      </c>
      <c r="C19" s="11">
        <v>4024.459</v>
      </c>
      <c r="D19" s="11">
        <f>2340.966+61.302</f>
        <v>2402.268</v>
      </c>
      <c r="E19" s="20">
        <f t="shared" si="0"/>
        <v>35.61160933471535</v>
      </c>
      <c r="F19" s="20">
        <f t="shared" si="1"/>
        <v>59.691700176346686</v>
      </c>
    </row>
    <row r="20" spans="1:6" s="37" customFormat="1" ht="30">
      <c r="A20" s="38" t="s">
        <v>39</v>
      </c>
      <c r="B20" s="11">
        <v>36131.055</v>
      </c>
      <c r="C20" s="11">
        <v>19914.33</v>
      </c>
      <c r="D20" s="11">
        <f>15627.761+52.34</f>
        <v>15680.101</v>
      </c>
      <c r="E20" s="20">
        <f t="shared" si="0"/>
        <v>43.39784985520075</v>
      </c>
      <c r="F20" s="20">
        <f t="shared" si="1"/>
        <v>78.73777827323339</v>
      </c>
    </row>
    <row r="21" spans="1:6" s="37" customFormat="1" ht="15">
      <c r="A21" s="38" t="s">
        <v>40</v>
      </c>
      <c r="B21" s="11">
        <f>SUM(B15)-B16-B17-B18-B19-B20</f>
        <v>44935.59100000001</v>
      </c>
      <c r="C21" s="11">
        <f>SUM(C15)-C16-C17-C18-C19-C20</f>
        <v>23416.56100000001</v>
      </c>
      <c r="D21" s="11">
        <f>SUM(D15)-D16-D17-D18-D19-D20</f>
        <v>18549.548000000003</v>
      </c>
      <c r="E21" s="20">
        <f t="shared" si="0"/>
        <v>41.280302733750624</v>
      </c>
      <c r="F21" s="20">
        <f t="shared" si="1"/>
        <v>79.21550905788428</v>
      </c>
    </row>
    <row r="22" spans="1:6" s="37" customFormat="1" ht="15">
      <c r="A22" s="36" t="s">
        <v>41</v>
      </c>
      <c r="B22" s="25">
        <v>14897</v>
      </c>
      <c r="C22" s="25">
        <v>5040.306</v>
      </c>
      <c r="D22" s="25">
        <v>1126.911</v>
      </c>
      <c r="E22" s="20">
        <f t="shared" si="0"/>
        <v>7.564684164596899</v>
      </c>
      <c r="F22" s="20">
        <f t="shared" si="1"/>
        <v>22.357987788836635</v>
      </c>
    </row>
    <row r="23" spans="1:6" s="35" customFormat="1" ht="28.5">
      <c r="A23" s="34" t="s">
        <v>59</v>
      </c>
      <c r="B23" s="18">
        <f>B24+B34</f>
        <v>686890.8130000001</v>
      </c>
      <c r="C23" s="18">
        <f>C24+C34</f>
        <v>389627.33400000003</v>
      </c>
      <c r="D23" s="18">
        <f>D24+D34</f>
        <v>360106.679</v>
      </c>
      <c r="E23" s="19">
        <f t="shared" si="0"/>
        <v>52.42560712484008</v>
      </c>
      <c r="F23" s="19">
        <f t="shared" si="1"/>
        <v>92.4233613958922</v>
      </c>
    </row>
    <row r="24" spans="1:6" s="37" customFormat="1" ht="15">
      <c r="A24" s="36" t="s">
        <v>43</v>
      </c>
      <c r="B24" s="25">
        <v>682948.077</v>
      </c>
      <c r="C24" s="25">
        <v>387285.863</v>
      </c>
      <c r="D24" s="25">
        <v>360060.659</v>
      </c>
      <c r="E24" s="20">
        <f t="shared" si="0"/>
        <v>52.72152761329174</v>
      </c>
      <c r="F24" s="20">
        <f>SUM(D24)/C24*100</f>
        <v>92.97025618515798</v>
      </c>
    </row>
    <row r="25" spans="1:6" s="37" customFormat="1" ht="15">
      <c r="A25" s="38" t="s">
        <v>35</v>
      </c>
      <c r="B25" s="11">
        <f>14660.587+636.762</f>
        <v>15297.349</v>
      </c>
      <c r="C25" s="11">
        <v>7452.004</v>
      </c>
      <c r="D25" s="11">
        <v>6387.856</v>
      </c>
      <c r="E25" s="20">
        <f t="shared" si="0"/>
        <v>41.75792812205565</v>
      </c>
      <c r="F25" s="20">
        <f t="shared" si="1"/>
        <v>85.71997545895037</v>
      </c>
    </row>
    <row r="26" spans="1:6" s="37" customFormat="1" ht="15">
      <c r="A26" s="38" t="s">
        <v>36</v>
      </c>
      <c r="B26" s="11">
        <v>3353.598</v>
      </c>
      <c r="C26" s="11">
        <v>1625.031</v>
      </c>
      <c r="D26" s="11">
        <v>1390.273</v>
      </c>
      <c r="E26" s="20">
        <f t="shared" si="0"/>
        <v>41.45616141231</v>
      </c>
      <c r="F26" s="20">
        <f t="shared" si="1"/>
        <v>85.55362943845378</v>
      </c>
    </row>
    <row r="27" spans="1:6" s="37" customFormat="1" ht="15">
      <c r="A27" s="38" t="s">
        <v>37</v>
      </c>
      <c r="B27" s="11">
        <v>72.57</v>
      </c>
      <c r="C27" s="11">
        <v>39.6</v>
      </c>
      <c r="D27" s="11">
        <v>39.599</v>
      </c>
      <c r="E27" s="20">
        <f t="shared" si="0"/>
        <v>54.56662532727022</v>
      </c>
      <c r="F27" s="20">
        <f t="shared" si="1"/>
        <v>99.99747474747474</v>
      </c>
    </row>
    <row r="28" spans="1:6" s="37" customFormat="1" ht="15">
      <c r="A28" s="38" t="s">
        <v>38</v>
      </c>
      <c r="B28" s="11">
        <v>276.527</v>
      </c>
      <c r="C28" s="11">
        <v>123.915</v>
      </c>
      <c r="D28" s="11">
        <v>119.603</v>
      </c>
      <c r="E28" s="20">
        <f t="shared" si="0"/>
        <v>43.2518343597551</v>
      </c>
      <c r="F28" s="20">
        <f t="shared" si="1"/>
        <v>96.520195295162</v>
      </c>
    </row>
    <row r="29" spans="1:6" s="37" customFormat="1" ht="30">
      <c r="A29" s="38" t="s">
        <v>39</v>
      </c>
      <c r="B29" s="11">
        <v>1309.543</v>
      </c>
      <c r="C29" s="11">
        <v>767.483</v>
      </c>
      <c r="D29" s="11">
        <v>573.44</v>
      </c>
      <c r="E29" s="20">
        <f t="shared" si="0"/>
        <v>43.78932192375509</v>
      </c>
      <c r="F29" s="20">
        <f t="shared" si="1"/>
        <v>74.71696441484698</v>
      </c>
    </row>
    <row r="30" spans="1:6" s="37" customFormat="1" ht="15">
      <c r="A30" s="38" t="s">
        <v>40</v>
      </c>
      <c r="B30" s="11">
        <f>SUM(B24)-B25-B26-B27-B28-B29</f>
        <v>662638.4900000001</v>
      </c>
      <c r="C30" s="11">
        <f>SUM(C24)-C25-C26-C27-C28-C29</f>
        <v>377277.83</v>
      </c>
      <c r="D30" s="11">
        <f>SUM(D24)-D25-D26-D27-D28-D29</f>
        <v>351549.888</v>
      </c>
      <c r="E30" s="20">
        <f t="shared" si="0"/>
        <v>53.0530437493904</v>
      </c>
      <c r="F30" s="20">
        <f t="shared" si="1"/>
        <v>93.18063772790465</v>
      </c>
    </row>
    <row r="31" spans="1:6" s="37" customFormat="1" ht="15">
      <c r="A31" s="38" t="s">
        <v>44</v>
      </c>
      <c r="B31" s="11">
        <f>SUM(B32:B33)</f>
        <v>639599.8</v>
      </c>
      <c r="C31" s="11">
        <f>SUM(C32:C33)</f>
        <v>365854.668</v>
      </c>
      <c r="D31" s="11">
        <f>SUM(D32:D33)</f>
        <v>344529.86100000003</v>
      </c>
      <c r="E31" s="20">
        <f t="shared" si="0"/>
        <v>53.86647416087372</v>
      </c>
      <c r="F31" s="20">
        <f>SUM(D31)/C31*100</f>
        <v>94.17123550272701</v>
      </c>
    </row>
    <row r="32" spans="1:6" s="37" customFormat="1" ht="30">
      <c r="A32" s="39" t="s">
        <v>63</v>
      </c>
      <c r="B32" s="11">
        <v>424514.7</v>
      </c>
      <c r="C32" s="11">
        <v>218853.909</v>
      </c>
      <c r="D32" s="67">
        <v>218853.909</v>
      </c>
      <c r="E32" s="20">
        <f t="shared" si="0"/>
        <v>51.55390590714527</v>
      </c>
      <c r="F32" s="20">
        <f>SUM(D32)/C32*100</f>
        <v>100</v>
      </c>
    </row>
    <row r="33" spans="1:6" s="37" customFormat="1" ht="15">
      <c r="A33" s="39" t="s">
        <v>60</v>
      </c>
      <c r="B33" s="11">
        <v>215085.1</v>
      </c>
      <c r="C33" s="11">
        <v>147000.759</v>
      </c>
      <c r="D33" s="11">
        <v>125675.952</v>
      </c>
      <c r="E33" s="20">
        <f t="shared" si="0"/>
        <v>58.430803435477394</v>
      </c>
      <c r="F33" s="20">
        <f>SUM(D33)/C33*100</f>
        <v>85.49340347283514</v>
      </c>
    </row>
    <row r="34" spans="1:6" s="37" customFormat="1" ht="15">
      <c r="A34" s="36" t="s">
        <v>41</v>
      </c>
      <c r="B34" s="25">
        <v>3942.736</v>
      </c>
      <c r="C34" s="25">
        <v>2341.471</v>
      </c>
      <c r="D34" s="25">
        <v>46.02</v>
      </c>
      <c r="E34" s="20">
        <f t="shared" si="0"/>
        <v>1.1672097751409176</v>
      </c>
      <c r="F34" s="20">
        <f>SUM(D34)/C34*100</f>
        <v>1.9654311328220593</v>
      </c>
    </row>
    <row r="35" spans="1:6" s="35" customFormat="1" ht="14.25">
      <c r="A35" s="34" t="s">
        <v>61</v>
      </c>
      <c r="B35" s="18">
        <f>B36+B41</f>
        <v>96875.568</v>
      </c>
      <c r="C35" s="18">
        <f>C36+C41</f>
        <v>53895.283</v>
      </c>
      <c r="D35" s="18">
        <f>D36+D41</f>
        <v>40227.593</v>
      </c>
      <c r="E35" s="19">
        <f t="shared" si="0"/>
        <v>41.52501381978994</v>
      </c>
      <c r="F35" s="19">
        <f>SUM(D35)/C35*100</f>
        <v>74.64028531031185</v>
      </c>
    </row>
    <row r="36" spans="1:6" s="37" customFormat="1" ht="15">
      <c r="A36" s="36" t="s">
        <v>43</v>
      </c>
      <c r="B36" s="25">
        <v>87293.4</v>
      </c>
      <c r="C36" s="25">
        <v>47446.379</v>
      </c>
      <c r="D36" s="25">
        <f>37911.154+375.144</f>
        <v>38286.298</v>
      </c>
      <c r="E36" s="20">
        <f t="shared" si="0"/>
        <v>43.85932728018385</v>
      </c>
      <c r="F36" s="20">
        <f t="shared" si="1"/>
        <v>80.69382491759804</v>
      </c>
    </row>
    <row r="37" spans="1:6" s="37" customFormat="1" ht="15">
      <c r="A37" s="38" t="s">
        <v>35</v>
      </c>
      <c r="B37" s="11">
        <v>40460.715</v>
      </c>
      <c r="C37" s="11">
        <v>21766.973</v>
      </c>
      <c r="D37" s="11">
        <v>19087.298</v>
      </c>
      <c r="E37" s="20">
        <f t="shared" si="0"/>
        <v>47.17489050799028</v>
      </c>
      <c r="F37" s="20">
        <f>SUM(D37)/C37*100</f>
        <v>87.68926207608196</v>
      </c>
    </row>
    <row r="38" spans="1:6" s="37" customFormat="1" ht="15">
      <c r="A38" s="38" t="s">
        <v>36</v>
      </c>
      <c r="B38" s="11">
        <v>8901.357</v>
      </c>
      <c r="C38" s="11">
        <v>4824.604</v>
      </c>
      <c r="D38" s="11">
        <v>4206.319</v>
      </c>
      <c r="E38" s="20">
        <f t="shared" si="0"/>
        <v>47.254806205390935</v>
      </c>
      <c r="F38" s="20">
        <f t="shared" si="1"/>
        <v>87.18475132881373</v>
      </c>
    </row>
    <row r="39" spans="1:6" s="37" customFormat="1" ht="30">
      <c r="A39" s="38" t="s">
        <v>39</v>
      </c>
      <c r="B39" s="11">
        <v>6464.382</v>
      </c>
      <c r="C39" s="11">
        <v>3520.122</v>
      </c>
      <c r="D39" s="11">
        <f>2967.058+17.228</f>
        <v>2984.286</v>
      </c>
      <c r="E39" s="20">
        <f t="shared" si="0"/>
        <v>46.1650626463597</v>
      </c>
      <c r="F39" s="20">
        <f t="shared" si="1"/>
        <v>84.7779139473007</v>
      </c>
    </row>
    <row r="40" spans="1:6" s="37" customFormat="1" ht="15">
      <c r="A40" s="38" t="s">
        <v>40</v>
      </c>
      <c r="B40" s="11">
        <f>SUM(B36)-B37-B38-B39</f>
        <v>31466.945999999996</v>
      </c>
      <c r="C40" s="11">
        <f>SUM(C36)-C37-C38-C39</f>
        <v>17334.68</v>
      </c>
      <c r="D40" s="11">
        <f>SUM(D36)-D37-D38-D39</f>
        <v>12008.395000000004</v>
      </c>
      <c r="E40" s="20">
        <f t="shared" si="0"/>
        <v>38.16193347775156</v>
      </c>
      <c r="F40" s="20">
        <f t="shared" si="1"/>
        <v>69.2738198801478</v>
      </c>
    </row>
    <row r="41" spans="1:6" s="37" customFormat="1" ht="15">
      <c r="A41" s="36" t="s">
        <v>41</v>
      </c>
      <c r="B41" s="25">
        <v>9582.168</v>
      </c>
      <c r="C41" s="25">
        <v>6448.904</v>
      </c>
      <c r="D41" s="25">
        <v>1941.295</v>
      </c>
      <c r="E41" s="20">
        <f t="shared" si="0"/>
        <v>20.25945485405808</v>
      </c>
      <c r="F41" s="20">
        <f t="shared" si="1"/>
        <v>30.10271202672578</v>
      </c>
    </row>
    <row r="42" spans="1:6" s="35" customFormat="1" ht="14.25">
      <c r="A42" s="34" t="s">
        <v>62</v>
      </c>
      <c r="B42" s="18">
        <f>B43+B48</f>
        <v>54781.755</v>
      </c>
      <c r="C42" s="18">
        <f>C43+C48</f>
        <v>29579.85</v>
      </c>
      <c r="D42" s="18">
        <f>D43+D48</f>
        <v>22170.285</v>
      </c>
      <c r="E42" s="19">
        <f t="shared" si="0"/>
        <v>40.47019851773643</v>
      </c>
      <c r="F42" s="19">
        <f t="shared" si="1"/>
        <v>74.95063362390276</v>
      </c>
    </row>
    <row r="43" spans="1:6" s="37" customFormat="1" ht="15">
      <c r="A43" s="36" t="s">
        <v>43</v>
      </c>
      <c r="B43" s="25">
        <v>51203.062</v>
      </c>
      <c r="C43" s="25">
        <v>26001.157</v>
      </c>
      <c r="D43" s="25">
        <f>20894.317+106.91</f>
        <v>21001.227</v>
      </c>
      <c r="E43" s="20">
        <f t="shared" si="0"/>
        <v>41.01556856111457</v>
      </c>
      <c r="F43" s="20">
        <f t="shared" si="1"/>
        <v>80.7703557191705</v>
      </c>
    </row>
    <row r="44" spans="1:6" s="37" customFormat="1" ht="15">
      <c r="A44" s="38" t="s">
        <v>35</v>
      </c>
      <c r="B44" s="11">
        <v>24685.189</v>
      </c>
      <c r="C44" s="11">
        <v>11850.757</v>
      </c>
      <c r="D44" s="11">
        <v>10295.7</v>
      </c>
      <c r="E44" s="20">
        <f t="shared" si="0"/>
        <v>41.70800555750252</v>
      </c>
      <c r="F44" s="20">
        <f>SUM(D44)/C44*100</f>
        <v>86.87799437622424</v>
      </c>
    </row>
    <row r="45" spans="1:6" s="37" customFormat="1" ht="15">
      <c r="A45" s="38" t="s">
        <v>36</v>
      </c>
      <c r="B45" s="11">
        <v>5430.741</v>
      </c>
      <c r="C45" s="11">
        <v>2609.511</v>
      </c>
      <c r="D45" s="11">
        <v>2261.85</v>
      </c>
      <c r="E45" s="20">
        <f t="shared" si="0"/>
        <v>41.64901253806801</v>
      </c>
      <c r="F45" s="20">
        <f t="shared" si="1"/>
        <v>86.67715905393769</v>
      </c>
    </row>
    <row r="46" spans="1:6" s="37" customFormat="1" ht="30">
      <c r="A46" s="38" t="s">
        <v>39</v>
      </c>
      <c r="B46" s="11">
        <v>4194.121</v>
      </c>
      <c r="C46" s="11">
        <v>1949.844</v>
      </c>
      <c r="D46" s="11">
        <v>1684.713</v>
      </c>
      <c r="E46" s="20">
        <f t="shared" si="0"/>
        <v>40.168440538553845</v>
      </c>
      <c r="F46" s="20">
        <f t="shared" si="1"/>
        <v>86.40245065759106</v>
      </c>
    </row>
    <row r="47" spans="1:6" s="37" customFormat="1" ht="15">
      <c r="A47" s="38" t="s">
        <v>40</v>
      </c>
      <c r="B47" s="11">
        <f>SUM(B43)-B44-B45-B46</f>
        <v>16893.011</v>
      </c>
      <c r="C47" s="11">
        <f>SUM(C43)-C44-C45-C46</f>
        <v>9591.044999999998</v>
      </c>
      <c r="D47" s="11">
        <f>SUM(D43)-D44-D45-D46</f>
        <v>6758.963999999998</v>
      </c>
      <c r="E47" s="20">
        <f t="shared" si="0"/>
        <v>40.01041614191809</v>
      </c>
      <c r="F47" s="20">
        <f t="shared" si="1"/>
        <v>70.47161180038253</v>
      </c>
    </row>
    <row r="48" spans="1:6" s="37" customFormat="1" ht="15">
      <c r="A48" s="36" t="s">
        <v>41</v>
      </c>
      <c r="B48" s="25">
        <v>3578.693</v>
      </c>
      <c r="C48" s="25">
        <v>3578.693</v>
      </c>
      <c r="D48" s="25">
        <f>1112.47+56.588</f>
        <v>1169.058</v>
      </c>
      <c r="E48" s="20">
        <f t="shared" si="0"/>
        <v>32.66717765396473</v>
      </c>
      <c r="F48" s="20">
        <f t="shared" si="1"/>
        <v>32.66717765396473</v>
      </c>
    </row>
    <row r="49" spans="1:6" s="37" customFormat="1" ht="14.25">
      <c r="A49" s="34" t="s">
        <v>45</v>
      </c>
      <c r="B49" s="18">
        <f>B50+B55</f>
        <v>90568.01</v>
      </c>
      <c r="C49" s="18">
        <f>C50+C55</f>
        <v>42171.949</v>
      </c>
      <c r="D49" s="18">
        <f>D50+D55</f>
        <v>32293.335</v>
      </c>
      <c r="E49" s="19">
        <f t="shared" si="0"/>
        <v>35.65644756906992</v>
      </c>
      <c r="F49" s="19">
        <f t="shared" si="1"/>
        <v>76.57539138160297</v>
      </c>
    </row>
    <row r="50" spans="1:6" s="37" customFormat="1" ht="15">
      <c r="A50" s="36" t="s">
        <v>43</v>
      </c>
      <c r="B50" s="25">
        <v>82568.01</v>
      </c>
      <c r="C50" s="25">
        <v>39039.249</v>
      </c>
      <c r="D50" s="25">
        <v>31881.093</v>
      </c>
      <c r="E50" s="20">
        <f t="shared" si="0"/>
        <v>38.61191882909616</v>
      </c>
      <c r="F50" s="20">
        <f t="shared" si="1"/>
        <v>81.66420670643537</v>
      </c>
    </row>
    <row r="51" spans="1:6" s="37" customFormat="1" ht="15">
      <c r="A51" s="38" t="s">
        <v>35</v>
      </c>
      <c r="B51" s="11">
        <v>50916.2</v>
      </c>
      <c r="C51" s="11">
        <v>24030.187</v>
      </c>
      <c r="D51" s="11">
        <v>20438.625</v>
      </c>
      <c r="E51" s="20">
        <f t="shared" si="0"/>
        <v>40.141693606357116</v>
      </c>
      <c r="F51" s="20">
        <f>SUM(D51)/C51*100</f>
        <v>85.05395734123915</v>
      </c>
    </row>
    <row r="52" spans="1:6" s="37" customFormat="1" ht="15">
      <c r="A52" s="38" t="s">
        <v>36</v>
      </c>
      <c r="B52" s="11">
        <v>11270.743</v>
      </c>
      <c r="C52" s="11">
        <v>5317.002</v>
      </c>
      <c r="D52" s="11">
        <v>4492.421</v>
      </c>
      <c r="E52" s="20">
        <f t="shared" si="0"/>
        <v>39.85913794680617</v>
      </c>
      <c r="F52" s="20">
        <f t="shared" si="1"/>
        <v>84.49161764468022</v>
      </c>
    </row>
    <row r="53" spans="1:6" s="37" customFormat="1" ht="30">
      <c r="A53" s="38" t="s">
        <v>39</v>
      </c>
      <c r="B53" s="11">
        <v>4798.274</v>
      </c>
      <c r="C53" s="11">
        <v>2185.256</v>
      </c>
      <c r="D53" s="11">
        <v>2072.781</v>
      </c>
      <c r="E53" s="20">
        <f t="shared" si="0"/>
        <v>43.198470950179164</v>
      </c>
      <c r="F53" s="20">
        <f t="shared" si="1"/>
        <v>94.85300578055845</v>
      </c>
    </row>
    <row r="54" spans="1:6" s="37" customFormat="1" ht="15">
      <c r="A54" s="38" t="s">
        <v>40</v>
      </c>
      <c r="B54" s="11">
        <f>SUM(B50)-B51-B52-B53</f>
        <v>15582.792999999994</v>
      </c>
      <c r="C54" s="11">
        <f>SUM(C50)-C51-C52-C53</f>
        <v>7506.804000000002</v>
      </c>
      <c r="D54" s="11">
        <f>SUM(D50)-D51-D52-D53</f>
        <v>4877.2660000000005</v>
      </c>
      <c r="E54" s="20">
        <f t="shared" si="0"/>
        <v>31.29904889322474</v>
      </c>
      <c r="F54" s="20">
        <f t="shared" si="1"/>
        <v>64.97127139592294</v>
      </c>
    </row>
    <row r="55" spans="1:6" s="37" customFormat="1" ht="15">
      <c r="A55" s="36" t="s">
        <v>41</v>
      </c>
      <c r="B55" s="25">
        <v>8000</v>
      </c>
      <c r="C55" s="25">
        <v>3132.7</v>
      </c>
      <c r="D55" s="25">
        <v>412.242</v>
      </c>
      <c r="E55" s="20">
        <f t="shared" si="0"/>
        <v>5.1530249999999995</v>
      </c>
      <c r="F55" s="20">
        <f t="shared" si="1"/>
        <v>13.15931943690746</v>
      </c>
    </row>
    <row r="56" spans="1:6" s="37" customFormat="1" ht="28.5">
      <c r="A56" s="21" t="s">
        <v>46</v>
      </c>
      <c r="B56" s="22">
        <f>B57+B60</f>
        <v>305839.955</v>
      </c>
      <c r="C56" s="22">
        <f>C57+C60</f>
        <v>110306.231</v>
      </c>
      <c r="D56" s="22">
        <f>D57+D60</f>
        <v>52247.22</v>
      </c>
      <c r="E56" s="19">
        <f t="shared" si="0"/>
        <v>17.08318980101864</v>
      </c>
      <c r="F56" s="19">
        <f t="shared" si="1"/>
        <v>47.365610742334226</v>
      </c>
    </row>
    <row r="57" spans="1:6" s="37" customFormat="1" ht="15">
      <c r="A57" s="36" t="s">
        <v>43</v>
      </c>
      <c r="B57" s="25">
        <v>179266.277</v>
      </c>
      <c r="C57" s="25">
        <v>77430.345</v>
      </c>
      <c r="D57" s="25">
        <v>45294.704</v>
      </c>
      <c r="E57" s="20">
        <f t="shared" si="0"/>
        <v>25.2667176214074</v>
      </c>
      <c r="F57" s="20">
        <f t="shared" si="1"/>
        <v>58.497355268144545</v>
      </c>
    </row>
    <row r="58" spans="1:6" s="37" customFormat="1" ht="30">
      <c r="A58" s="38" t="s">
        <v>39</v>
      </c>
      <c r="B58" s="11">
        <v>20033.7</v>
      </c>
      <c r="C58" s="11">
        <v>10442.234</v>
      </c>
      <c r="D58" s="11">
        <v>9345.701</v>
      </c>
      <c r="E58" s="20">
        <f t="shared" si="0"/>
        <v>46.64989991863709</v>
      </c>
      <c r="F58" s="20">
        <f>SUM(D58)/C58*100</f>
        <v>89.49905738561307</v>
      </c>
    </row>
    <row r="59" spans="1:6" s="37" customFormat="1" ht="15">
      <c r="A59" s="38" t="s">
        <v>40</v>
      </c>
      <c r="B59" s="11">
        <f>SUM(B57)-B58</f>
        <v>159232.577</v>
      </c>
      <c r="C59" s="11">
        <f>SUM(C57)-C58</f>
        <v>66988.111</v>
      </c>
      <c r="D59" s="11">
        <f>SUM(D57)-D58</f>
        <v>35949.003</v>
      </c>
      <c r="E59" s="20">
        <f t="shared" si="0"/>
        <v>22.576412237553626</v>
      </c>
      <c r="F59" s="20">
        <f t="shared" si="1"/>
        <v>53.66475104813747</v>
      </c>
    </row>
    <row r="60" spans="1:6" s="37" customFormat="1" ht="15">
      <c r="A60" s="36" t="s">
        <v>41</v>
      </c>
      <c r="B60" s="25">
        <v>126573.678</v>
      </c>
      <c r="C60" s="25">
        <f>30410.886+2465</f>
        <v>32875.886</v>
      </c>
      <c r="D60" s="25">
        <v>6952.516</v>
      </c>
      <c r="E60" s="20">
        <f t="shared" si="0"/>
        <v>5.492860845838737</v>
      </c>
      <c r="F60" s="20">
        <f t="shared" si="1"/>
        <v>21.147767698184623</v>
      </c>
    </row>
    <row r="61" spans="1:6" s="37" customFormat="1" ht="15">
      <c r="A61" s="21" t="s">
        <v>47</v>
      </c>
      <c r="B61" s="22">
        <f>SUM(B62)</f>
        <v>97307.069</v>
      </c>
      <c r="C61" s="22">
        <f>SUM(C62)</f>
        <v>32655.587</v>
      </c>
      <c r="D61" s="22">
        <f>SUM(D62)</f>
        <v>2896.632</v>
      </c>
      <c r="E61" s="20">
        <f t="shared" si="0"/>
        <v>2.9767950363400626</v>
      </c>
      <c r="F61" s="20">
        <f t="shared" si="1"/>
        <v>8.870249369579545</v>
      </c>
    </row>
    <row r="62" spans="1:6" s="37" customFormat="1" ht="15">
      <c r="A62" s="36" t="s">
        <v>41</v>
      </c>
      <c r="B62" s="25">
        <v>97307.069</v>
      </c>
      <c r="C62" s="25">
        <f>14666.272+17989.315</f>
        <v>32655.587</v>
      </c>
      <c r="D62" s="25">
        <v>2896.632</v>
      </c>
      <c r="E62" s="20">
        <f t="shared" si="0"/>
        <v>2.9767950363400626</v>
      </c>
      <c r="F62" s="20">
        <f t="shared" si="1"/>
        <v>8.870249369579545</v>
      </c>
    </row>
    <row r="63" spans="1:6" s="37" customFormat="1" ht="15">
      <c r="A63" s="40" t="s">
        <v>48</v>
      </c>
      <c r="B63" s="22">
        <f>SUM(B64:B65)</f>
        <v>192940.72999999998</v>
      </c>
      <c r="C63" s="22">
        <f>SUM(C64:C65)</f>
        <v>86916.266</v>
      </c>
      <c r="D63" s="22">
        <f>1832.812+718.781</f>
        <v>2551.593</v>
      </c>
      <c r="E63" s="19">
        <f t="shared" si="0"/>
        <v>1.3224750419468196</v>
      </c>
      <c r="F63" s="19">
        <f t="shared" si="1"/>
        <v>2.9356910017280304</v>
      </c>
    </row>
    <row r="64" spans="1:6" s="37" customFormat="1" ht="15">
      <c r="A64" s="36" t="s">
        <v>40</v>
      </c>
      <c r="B64" s="25">
        <v>82070.117</v>
      </c>
      <c r="C64" s="25">
        <v>47146.367</v>
      </c>
      <c r="D64" s="25">
        <v>30857.409</v>
      </c>
      <c r="E64" s="20">
        <f t="shared" si="0"/>
        <v>37.59883637061222</v>
      </c>
      <c r="F64" s="20">
        <f t="shared" si="1"/>
        <v>65.4502371306786</v>
      </c>
    </row>
    <row r="65" spans="1:6" s="37" customFormat="1" ht="15">
      <c r="A65" s="36" t="s">
        <v>41</v>
      </c>
      <c r="B65" s="25">
        <v>110870.613</v>
      </c>
      <c r="C65" s="25">
        <v>39769.899</v>
      </c>
      <c r="D65" s="25">
        <v>10803.075</v>
      </c>
      <c r="E65" s="20">
        <f t="shared" si="0"/>
        <v>9.743857914811024</v>
      </c>
      <c r="F65" s="20">
        <f t="shared" si="1"/>
        <v>27.163948794539312</v>
      </c>
    </row>
    <row r="66" spans="1:6" s="37" customFormat="1" ht="57">
      <c r="A66" s="41" t="s">
        <v>49</v>
      </c>
      <c r="B66" s="22">
        <f>SUM(B67:B67)</f>
        <v>6900</v>
      </c>
      <c r="C66" s="22">
        <f>SUM(C67:C67)</f>
        <v>300</v>
      </c>
      <c r="D66" s="22">
        <f>SUM(D67:D67)</f>
        <v>300</v>
      </c>
      <c r="E66" s="19">
        <f t="shared" si="0"/>
        <v>4.3478260869565215</v>
      </c>
      <c r="F66" s="19">
        <f t="shared" si="1"/>
        <v>100</v>
      </c>
    </row>
    <row r="67" spans="1:6" s="37" customFormat="1" ht="15">
      <c r="A67" s="36" t="s">
        <v>41</v>
      </c>
      <c r="B67" s="25">
        <v>6900</v>
      </c>
      <c r="C67" s="25">
        <v>300</v>
      </c>
      <c r="D67" s="25">
        <v>300</v>
      </c>
      <c r="E67" s="20">
        <f t="shared" si="0"/>
        <v>4.3478260869565215</v>
      </c>
      <c r="F67" s="20">
        <f t="shared" si="1"/>
        <v>100</v>
      </c>
    </row>
    <row r="68" spans="1:6" s="37" customFormat="1" ht="39.75" customHeight="1">
      <c r="A68" s="40" t="s">
        <v>50</v>
      </c>
      <c r="B68" s="18">
        <f>SUM(B69)+B72</f>
        <v>9526</v>
      </c>
      <c r="C68" s="18">
        <f>SUM(C69)+C72</f>
        <v>4573.131</v>
      </c>
      <c r="D68" s="18">
        <f>SUM(D69)+D72</f>
        <v>2432.039</v>
      </c>
      <c r="E68" s="19">
        <f t="shared" si="0"/>
        <v>25.53053747638043</v>
      </c>
      <c r="F68" s="19">
        <f t="shared" si="1"/>
        <v>53.181048170279844</v>
      </c>
    </row>
    <row r="69" spans="1:6" s="37" customFormat="1" ht="15">
      <c r="A69" s="36" t="s">
        <v>43</v>
      </c>
      <c r="B69" s="25">
        <v>8800.034</v>
      </c>
      <c r="C69" s="25">
        <v>4573.131</v>
      </c>
      <c r="D69" s="25">
        <v>2432.039</v>
      </c>
      <c r="E69" s="20">
        <f aca="true" t="shared" si="2" ref="E69:E90">SUM(D69)/B69*100</f>
        <v>27.63670004002258</v>
      </c>
      <c r="F69" s="20">
        <f t="shared" si="1"/>
        <v>53.181048170279844</v>
      </c>
    </row>
    <row r="70" spans="1:6" s="37" customFormat="1" ht="30">
      <c r="A70" s="38" t="s">
        <v>39</v>
      </c>
      <c r="B70" s="11">
        <v>14.956</v>
      </c>
      <c r="C70" s="11">
        <v>11.14</v>
      </c>
      <c r="D70" s="11">
        <v>1.397</v>
      </c>
      <c r="E70" s="20">
        <f t="shared" si="2"/>
        <v>9.340732816261033</v>
      </c>
      <c r="F70" s="20">
        <f t="shared" si="1"/>
        <v>12.540394973070018</v>
      </c>
    </row>
    <row r="71" spans="1:6" s="37" customFormat="1" ht="15">
      <c r="A71" s="38" t="s">
        <v>40</v>
      </c>
      <c r="B71" s="11">
        <f>SUM(B69)-B70</f>
        <v>8785.078</v>
      </c>
      <c r="C71" s="11">
        <f>SUM(C69)-C70</f>
        <v>4561.991</v>
      </c>
      <c r="D71" s="11">
        <f>SUM(D69)-D70</f>
        <v>2430.6420000000003</v>
      </c>
      <c r="E71" s="19">
        <f t="shared" si="2"/>
        <v>27.667847684448567</v>
      </c>
      <c r="F71" s="19">
        <f t="shared" si="1"/>
        <v>53.28028924213135</v>
      </c>
    </row>
    <row r="72" spans="1:6" s="37" customFormat="1" ht="15">
      <c r="A72" s="36" t="s">
        <v>41</v>
      </c>
      <c r="B72" s="25">
        <v>725.966</v>
      </c>
      <c r="C72" s="25"/>
      <c r="D72" s="25"/>
      <c r="E72" s="20">
        <f t="shared" si="2"/>
        <v>0</v>
      </c>
      <c r="F72" s="20" t="e">
        <f>SUM(D72)/C72*100</f>
        <v>#DIV/0!</v>
      </c>
    </row>
    <row r="73" spans="1:6" s="37" customFormat="1" ht="15">
      <c r="A73" s="40" t="s">
        <v>51</v>
      </c>
      <c r="B73" s="18">
        <v>2470</v>
      </c>
      <c r="C73" s="18">
        <v>570</v>
      </c>
      <c r="D73" s="18"/>
      <c r="E73" s="20">
        <f t="shared" si="2"/>
        <v>0</v>
      </c>
      <c r="F73" s="20">
        <f t="shared" si="1"/>
        <v>0</v>
      </c>
    </row>
    <row r="74" spans="1:6" s="37" customFormat="1" ht="15">
      <c r="A74" s="40" t="s">
        <v>52</v>
      </c>
      <c r="B74" s="18">
        <v>37806.6</v>
      </c>
      <c r="C74" s="18">
        <v>18903.6</v>
      </c>
      <c r="D74" s="18">
        <v>16803.2</v>
      </c>
      <c r="E74" s="20">
        <f t="shared" si="2"/>
        <v>44.44514978866124</v>
      </c>
      <c r="F74" s="20">
        <f aca="true" t="shared" si="3" ref="F74:F90">SUM(D74)/C74*100</f>
        <v>88.8888888888889</v>
      </c>
    </row>
    <row r="75" spans="1:6" s="35" customFormat="1" ht="15">
      <c r="A75" s="34" t="s">
        <v>53</v>
      </c>
      <c r="B75" s="18">
        <f>SUM(B76)+B80</f>
        <v>18652.517</v>
      </c>
      <c r="C75" s="18">
        <f>SUM(C76)+C80</f>
        <v>12983.265</v>
      </c>
      <c r="D75" s="18">
        <f>SUM(D76)+D80</f>
        <v>933.008</v>
      </c>
      <c r="E75" s="20">
        <f t="shared" si="2"/>
        <v>5.002048785158593</v>
      </c>
      <c r="F75" s="20">
        <f t="shared" si="3"/>
        <v>7.186235511637482</v>
      </c>
    </row>
    <row r="76" spans="1:6" s="35" customFormat="1" ht="15">
      <c r="A76" s="36" t="s">
        <v>43</v>
      </c>
      <c r="B76" s="25">
        <f>11714.289-51+830.938</f>
        <v>12494.227</v>
      </c>
      <c r="C76" s="25">
        <f>134+85+195.337+7948.422+32.019-636.201+1946.188</f>
        <v>9704.765</v>
      </c>
      <c r="D76" s="25">
        <f>218.769+36+53.875+653.87-572.473+15.001+15.946+29.534+90.001+103.336+122.519+94.84+71.79</f>
        <v>933.008</v>
      </c>
      <c r="E76" s="19">
        <f t="shared" si="2"/>
        <v>7.467512796109756</v>
      </c>
      <c r="F76" s="20">
        <f t="shared" si="3"/>
        <v>9.613916462686115</v>
      </c>
    </row>
    <row r="77" spans="1:6" s="37" customFormat="1" ht="15">
      <c r="A77" s="38" t="s">
        <v>35</v>
      </c>
      <c r="B77" s="11"/>
      <c r="C77" s="11"/>
      <c r="D77" s="11"/>
      <c r="E77" s="19"/>
      <c r="F77" s="19"/>
    </row>
    <row r="78" spans="1:6" s="37" customFormat="1" ht="15">
      <c r="A78" s="38" t="s">
        <v>36</v>
      </c>
      <c r="B78" s="11"/>
      <c r="C78" s="11"/>
      <c r="D78" s="11"/>
      <c r="E78" s="19"/>
      <c r="F78" s="19"/>
    </row>
    <row r="79" spans="1:6" s="37" customFormat="1" ht="15">
      <c r="A79" s="38" t="s">
        <v>40</v>
      </c>
      <c r="B79" s="11">
        <f>SUM(B76)-B77-B78</f>
        <v>12494.227</v>
      </c>
      <c r="C79" s="11">
        <f>SUM(C76)-C77-C78</f>
        <v>9704.765</v>
      </c>
      <c r="D79" s="11">
        <f>SUM(D76)-D77-D78</f>
        <v>933.008</v>
      </c>
      <c r="E79" s="20">
        <f t="shared" si="2"/>
        <v>7.467512796109756</v>
      </c>
      <c r="F79" s="20">
        <f>SUM(D79)/C79*100</f>
        <v>9.613916462686115</v>
      </c>
    </row>
    <row r="80" spans="1:6" s="37" customFormat="1" ht="15">
      <c r="A80" s="36" t="s">
        <v>41</v>
      </c>
      <c r="B80" s="25">
        <v>6158.29</v>
      </c>
      <c r="C80" s="25">
        <f>2978.5+300</f>
        <v>3278.5</v>
      </c>
      <c r="D80" s="25"/>
      <c r="E80" s="20">
        <f t="shared" si="2"/>
        <v>0</v>
      </c>
      <c r="F80" s="20">
        <f t="shared" si="3"/>
        <v>0</v>
      </c>
    </row>
    <row r="81" spans="1:6" s="37" customFormat="1" ht="40.5">
      <c r="A81" s="42" t="s">
        <v>54</v>
      </c>
      <c r="B81" s="18">
        <f>15000+775.5-705.5</f>
        <v>15070</v>
      </c>
      <c r="C81" s="18">
        <f>15000+39.6</f>
        <v>15039.6</v>
      </c>
      <c r="D81" s="18">
        <v>8000</v>
      </c>
      <c r="E81" s="20">
        <f t="shared" si="2"/>
        <v>53.085600530856006</v>
      </c>
      <c r="F81" s="20">
        <f t="shared" si="3"/>
        <v>53.192904066597514</v>
      </c>
    </row>
    <row r="82" spans="1:11" s="46" customFormat="1" ht="15.75">
      <c r="A82" s="43" t="s">
        <v>55</v>
      </c>
      <c r="B82" s="28">
        <f>B5+B14+B23+B35+B42+B49+B56+B61+B63+B66+B68+B73+B74+B75+B81</f>
        <v>2728723.162</v>
      </c>
      <c r="C82" s="28">
        <f>C5+C14+C23+C35+C42+C49+C56+C61+C63+C66+C68+C73+C74+C75+C81</f>
        <v>1392698.3280000004</v>
      </c>
      <c r="D82" s="28">
        <f>D5+D14+D23+D35+D42+D49+D56+D61+D63+D66+D68+D73+D74+D75+D81</f>
        <v>1005211.2739999999</v>
      </c>
      <c r="E82" s="20">
        <f t="shared" si="2"/>
        <v>36.83815522213828</v>
      </c>
      <c r="F82" s="20">
        <f t="shared" si="3"/>
        <v>72.17724425960535</v>
      </c>
      <c r="G82" s="44"/>
      <c r="H82" s="44"/>
      <c r="I82" s="45"/>
      <c r="J82" s="45"/>
      <c r="K82" s="45"/>
    </row>
    <row r="83" spans="1:11" s="46" customFormat="1" ht="15.75">
      <c r="A83" s="34" t="s">
        <v>43</v>
      </c>
      <c r="B83" s="28">
        <f>B6+B15+B24+B36+B43+B50+B57+B64+B69+B76+B74</f>
        <v>2286234.51</v>
      </c>
      <c r="C83" s="28">
        <f>C6+C15+C24+C36+C43+C50+C57+C64+C69+C76+C74</f>
        <v>1234655.654</v>
      </c>
      <c r="D83" s="28">
        <f>D6+D15+D24+D36+D43+D50+D57+D64+D69+D76+D74</f>
        <v>1004688.6629999998</v>
      </c>
      <c r="E83" s="20">
        <f t="shared" si="2"/>
        <v>43.945127177701465</v>
      </c>
      <c r="F83" s="20">
        <f t="shared" si="3"/>
        <v>81.37399766040352</v>
      </c>
      <c r="G83" s="44"/>
      <c r="H83" s="44"/>
      <c r="I83" s="45"/>
      <c r="J83" s="45"/>
      <c r="K83" s="45"/>
    </row>
    <row r="84" spans="1:6" s="48" customFormat="1" ht="15">
      <c r="A84" s="47" t="s">
        <v>35</v>
      </c>
      <c r="B84" s="22">
        <f aca="true" t="shared" si="4" ref="B84:D85">B7+B16+B25+B37+B44+B51+B77</f>
        <v>754676.7779999999</v>
      </c>
      <c r="C84" s="22">
        <f t="shared" si="4"/>
        <v>408636.55299999996</v>
      </c>
      <c r="D84" s="22">
        <f t="shared" si="4"/>
        <v>330736.804</v>
      </c>
      <c r="E84" s="19">
        <f t="shared" si="2"/>
        <v>43.82496104842384</v>
      </c>
      <c r="F84" s="19">
        <f t="shared" si="3"/>
        <v>80.93666647584512</v>
      </c>
    </row>
    <row r="85" spans="1:6" ht="15">
      <c r="A85" s="47" t="s">
        <v>36</v>
      </c>
      <c r="B85" s="22">
        <f t="shared" si="4"/>
        <v>166063.64299999998</v>
      </c>
      <c r="C85" s="22">
        <f t="shared" si="4"/>
        <v>90203.389</v>
      </c>
      <c r="D85" s="22">
        <f t="shared" si="4"/>
        <v>72954.84300000001</v>
      </c>
      <c r="E85" s="19">
        <f t="shared" si="2"/>
        <v>43.93185749875427</v>
      </c>
      <c r="F85" s="19">
        <f t="shared" si="3"/>
        <v>80.8781619058681</v>
      </c>
    </row>
    <row r="86" spans="1:6" ht="15">
      <c r="A86" s="47" t="s">
        <v>56</v>
      </c>
      <c r="B86" s="22">
        <f>B70+B11+B20+B29+B39+B46+B53+B58</f>
        <v>165680.90200000006</v>
      </c>
      <c r="C86" s="22">
        <f>C70+C11+C20+C29+C39+C46+C53+C58</f>
        <v>86280.61899999998</v>
      </c>
      <c r="D86" s="22">
        <f>D70+D11+D20+D29+D39+D46+D53+D58</f>
        <v>75376.409</v>
      </c>
      <c r="E86" s="19">
        <f t="shared" si="2"/>
        <v>45.49492916208288</v>
      </c>
      <c r="F86" s="19">
        <f>SUM(D86)/C86*100</f>
        <v>87.36192423468823</v>
      </c>
    </row>
    <row r="87" spans="1:6" ht="15">
      <c r="A87" s="47" t="s">
        <v>40</v>
      </c>
      <c r="B87" s="22">
        <f>B83-B84-B85-B86</f>
        <v>1199813.187</v>
      </c>
      <c r="C87" s="22">
        <f>C83-C84-C85-C86</f>
        <v>649535.0930000002</v>
      </c>
      <c r="D87" s="22">
        <f>D83-D84-D85-D86</f>
        <v>525620.6069999998</v>
      </c>
      <c r="E87" s="19">
        <f t="shared" si="2"/>
        <v>43.808537253558285</v>
      </c>
      <c r="F87" s="19">
        <f t="shared" si="3"/>
        <v>80.92258796554349</v>
      </c>
    </row>
    <row r="88" spans="1:6" ht="15">
      <c r="A88" s="34" t="s">
        <v>41</v>
      </c>
      <c r="B88" s="18">
        <f>B13+B22+B41+B34+B55+B60+B62+B65+B67+B72+B80+B48</f>
        <v>424948.65200000006</v>
      </c>
      <c r="C88" s="18">
        <f>C13+C22+C41+C34+C55+C60+C62+C65+C67+C72+C80+C48</f>
        <v>142433.074</v>
      </c>
      <c r="D88" s="18">
        <f>D13+D22+D41+D34+D55+D60+D62+D65+D67+D72+D80+D48</f>
        <v>31631.502000000004</v>
      </c>
      <c r="E88" s="19">
        <f t="shared" si="2"/>
        <v>7.443605680622325</v>
      </c>
      <c r="F88" s="19">
        <f t="shared" si="3"/>
        <v>22.207975375157602</v>
      </c>
    </row>
    <row r="89" spans="1:6" ht="15">
      <c r="A89" s="34" t="s">
        <v>57</v>
      </c>
      <c r="B89" s="18">
        <f>SUM(B81)</f>
        <v>15070</v>
      </c>
      <c r="C89" s="18">
        <f>SUM(C81)</f>
        <v>15039.6</v>
      </c>
      <c r="D89" s="18">
        <f>SUM(D81)</f>
        <v>8000</v>
      </c>
      <c r="E89" s="19">
        <f t="shared" si="2"/>
        <v>53.085600530856006</v>
      </c>
      <c r="F89" s="19">
        <f t="shared" si="3"/>
        <v>53.192904066597514</v>
      </c>
    </row>
    <row r="90" spans="1:6" ht="28.5">
      <c r="A90" s="34" t="s">
        <v>58</v>
      </c>
      <c r="B90" s="18">
        <f>SUM(B73)</f>
        <v>2470</v>
      </c>
      <c r="C90" s="18">
        <f>SUM(C73)</f>
        <v>570</v>
      </c>
      <c r="D90" s="18"/>
      <c r="E90" s="19">
        <f t="shared" si="2"/>
        <v>0</v>
      </c>
      <c r="F90" s="19">
        <f t="shared" si="3"/>
        <v>0</v>
      </c>
    </row>
    <row r="93" spans="2:3" ht="15">
      <c r="B93" s="50"/>
      <c r="C93" s="50"/>
    </row>
    <row r="94" spans="2:3" ht="15">
      <c r="B94" s="50"/>
      <c r="C94" s="50"/>
    </row>
    <row r="95" spans="2:3" ht="15">
      <c r="B95" s="50"/>
      <c r="C95" s="50"/>
    </row>
  </sheetData>
  <sheetProtection/>
  <mergeCells count="7">
    <mergeCell ref="E3:E4"/>
    <mergeCell ref="F3:F4"/>
    <mergeCell ref="A1:F1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2016-05-04T13:10:45Z</cp:lastPrinted>
  <dcterms:created xsi:type="dcterms:W3CDTF">2015-04-07T07:35:57Z</dcterms:created>
  <dcterms:modified xsi:type="dcterms:W3CDTF">2016-06-13T12:35:34Z</dcterms:modified>
  <cp:category/>
  <cp:version/>
  <cp:contentType/>
  <cp:contentStatus/>
</cp:coreProperties>
</file>